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202300"/>
  <xr:revisionPtr revIDLastSave="0" documentId="13_ncr:1_{E3C0252C-D2E4-4603-A1F7-6E560A520908}" xr6:coauthVersionLast="47" xr6:coauthVersionMax="47" xr10:uidLastSave="{00000000-0000-0000-0000-000000000000}"/>
  <bookViews>
    <workbookView xWindow="-120" yWindow="-120" windowWidth="29040" windowHeight="15720" tabRatio="911" xr2:uid="{E58E0804-440F-46E2-BC3D-FD7E3032E232}"/>
  </bookViews>
  <sheets>
    <sheet name="Cover" sheetId="50" r:id="rId1"/>
    <sheet name="Table of Contents" sheetId="55" r:id="rId2"/>
    <sheet name="1 Methodology" sheetId="30" r:id="rId3"/>
    <sheet name="2 National Average Costs" sheetId="58" r:id="rId4"/>
    <sheet name="3 New England Costs" sheetId="62" r:id="rId5"/>
    <sheet name="4 Middle Atlantic Costs" sheetId="63" r:id="rId6"/>
    <sheet name="5 East North Central Costs" sheetId="61" r:id="rId7"/>
    <sheet name="6 West North Central Costs" sheetId="64" r:id="rId8"/>
    <sheet name="7 South Atlantic Costs" sheetId="65" r:id="rId9"/>
    <sheet name="8 East South Central Costs" sheetId="66" r:id="rId10"/>
    <sheet name="9 West South Central Costs" sheetId="67" r:id="rId11"/>
    <sheet name="10 Moutain Costs" sheetId="68" r:id="rId12"/>
    <sheet name="11 Pacific Costs" sheetId="69" r:id="rId13"/>
    <sheet name="12 Space Heating Subcomponents" sheetId="59" r:id="rId14"/>
    <sheet name="13 Space Heating Costs" sheetId="22" r:id="rId15"/>
    <sheet name="14 Space Heating Detailed Costs" sheetId="49" r:id="rId16"/>
    <sheet name="15 Space Heating Demo &amp; Permit" sheetId="27" r:id="rId17"/>
    <sheet name="16 Water Heating Costs" sheetId="60" r:id="rId18"/>
    <sheet name="17 Cooking Costs" sheetId="11" r:id="rId19"/>
    <sheet name="18 Clothes Drying Costs" sheetId="6" r:id="rId20"/>
    <sheet name="19 General Wages" sheetId="5" r:id="rId21"/>
    <sheet name="20 Excavation Wages" sheetId="25" r:id="rId22"/>
    <sheet name="21 Sales Taxes" sheetId="12" r:id="rId23"/>
    <sheet name="22 Credits &amp; Trends" sheetId="17" r:id="rId24"/>
    <sheet name="23 Venting Notes" sheetId="53" r:id="rId25"/>
    <sheet name="24 Mini-Split Air Handler Notes" sheetId="13" r:id="rId26"/>
    <sheet name="25 Markup Notes" sheetId="14" r:id="rId27"/>
    <sheet name="26 Gas Dryer Notes" sheetId="1" r:id="rId28"/>
  </sheets>
  <definedNames>
    <definedName name="_xlnm._FilterDatabase" localSheetId="17" hidden="1">'14 Space Heating Detailed Costs'!#REF!</definedName>
    <definedName name="_xlnm._FilterDatabase" localSheetId="20" hidden="1">'19 General Wages'!$A$27:$V$27</definedName>
    <definedName name="_xlnm._FilterDatabase" localSheetId="22" hidden="1">'21 Sales Taxes'!$A$24:$G$24</definedName>
    <definedName name="_xlnm._FilterDatabase" localSheetId="25" hidden="1">'24 Mini-Split Air Handler Notes'!$A$36:$D$36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53" l="1"/>
  <c r="D10" i="53"/>
  <c r="D19" i="53" s="1"/>
  <c r="F11" i="53"/>
  <c r="F10" i="53"/>
  <c r="E19" i="53"/>
  <c r="E15" i="53"/>
  <c r="E16" i="53"/>
  <c r="E14" i="53"/>
  <c r="E18" i="53"/>
  <c r="E17" i="53"/>
  <c r="E11" i="53"/>
  <c r="E12" i="53"/>
  <c r="E13" i="53"/>
  <c r="E10" i="53"/>
  <c r="N49" i="53"/>
  <c r="M69" i="53"/>
  <c r="L69" i="53"/>
  <c r="K69" i="53"/>
  <c r="J69" i="53"/>
  <c r="I69" i="53"/>
  <c r="I34" i="53"/>
  <c r="K34" i="53" s="1"/>
  <c r="I26" i="53" a="1"/>
  <c r="I26" i="53" s="1"/>
  <c r="K26" i="53" s="1"/>
  <c r="I27" i="53" a="1"/>
  <c r="I27" i="53" s="1"/>
  <c r="I28" i="53" a="1"/>
  <c r="I28" i="53" s="1"/>
  <c r="I29" i="53" a="1"/>
  <c r="I29" i="53" s="1"/>
  <c r="K29" i="53" s="1"/>
  <c r="I30" i="53" a="1"/>
  <c r="I30" i="53" s="1"/>
  <c r="K30" i="53" s="1"/>
  <c r="I31" i="53" a="1"/>
  <c r="I31" i="53" s="1"/>
  <c r="K31" i="53" s="1"/>
  <c r="I32" i="53" a="1"/>
  <c r="I32" i="53" s="1"/>
  <c r="K32" i="53" s="1"/>
  <c r="I33" i="53" a="1"/>
  <c r="I33" i="53" s="1"/>
  <c r="K33" i="53" s="1"/>
  <c r="I25" i="53" a="1"/>
  <c r="I25" i="53" s="1"/>
  <c r="K25" i="53" s="1"/>
  <c r="F26" i="53"/>
  <c r="F27" i="53"/>
  <c r="F28" i="53"/>
  <c r="F29" i="53"/>
  <c r="F30" i="53"/>
  <c r="F31" i="53"/>
  <c r="F32" i="53"/>
  <c r="F33" i="53"/>
  <c r="F34" i="53"/>
  <c r="F35" i="53"/>
  <c r="F36" i="53"/>
  <c r="F37" i="53"/>
  <c r="F38" i="53"/>
  <c r="F39" i="53"/>
  <c r="F40" i="53"/>
  <c r="F41" i="53"/>
  <c r="F42" i="53"/>
  <c r="F43" i="53"/>
  <c r="F44" i="53"/>
  <c r="F45" i="53"/>
  <c r="F46" i="53"/>
  <c r="F47" i="53"/>
  <c r="F48" i="53"/>
  <c r="F49" i="53"/>
  <c r="F50" i="53"/>
  <c r="F51" i="53"/>
  <c r="F52" i="53"/>
  <c r="F53" i="53"/>
  <c r="F54" i="53"/>
  <c r="F55" i="53"/>
  <c r="F56" i="53"/>
  <c r="F57" i="53"/>
  <c r="F58" i="53"/>
  <c r="F59" i="53"/>
  <c r="F60" i="53"/>
  <c r="F61" i="53"/>
  <c r="F62" i="53"/>
  <c r="F63" i="53"/>
  <c r="F64" i="53"/>
  <c r="F65" i="53"/>
  <c r="F66" i="53"/>
  <c r="F67" i="53"/>
  <c r="F68" i="53"/>
  <c r="F69" i="53"/>
  <c r="F70" i="53"/>
  <c r="F71" i="53"/>
  <c r="F72" i="53"/>
  <c r="F73" i="53"/>
  <c r="F74" i="53"/>
  <c r="F75" i="53"/>
  <c r="F25" i="53"/>
  <c r="K28" i="53" l="1"/>
  <c r="K27" i="53"/>
  <c r="J27" i="53" a="1"/>
  <c r="J27" i="53" s="1"/>
  <c r="L27" i="53" s="1"/>
  <c r="J29" i="53" a="1"/>
  <c r="J29" i="53" s="1"/>
  <c r="L29" i="53" s="1"/>
  <c r="J33" i="53" a="1"/>
  <c r="J33" i="53" s="1"/>
  <c r="L33" i="53" s="1"/>
  <c r="J26" i="53" a="1"/>
  <c r="J26" i="53" s="1"/>
  <c r="L26" i="53" s="1"/>
  <c r="J32" i="53" a="1"/>
  <c r="J32" i="53" s="1"/>
  <c r="L32" i="53" s="1"/>
  <c r="J28" i="53" a="1"/>
  <c r="J28" i="53" s="1"/>
  <c r="L28" i="53" s="1"/>
  <c r="J31" i="53" a="1"/>
  <c r="J31" i="53" s="1"/>
  <c r="L31" i="53" s="1"/>
  <c r="J25" i="53" a="1"/>
  <c r="J25" i="53" s="1"/>
  <c r="L25" i="53" s="1"/>
  <c r="J30" i="53" a="1"/>
  <c r="J30" i="53" s="1"/>
  <c r="L30" i="53" s="1"/>
  <c r="B10" i="53" l="1"/>
  <c r="C11" i="53"/>
  <c r="C10" i="53"/>
  <c r="C12" i="53"/>
  <c r="B12" i="53"/>
  <c r="B13" i="53"/>
  <c r="C13" i="53"/>
  <c r="C17" i="53"/>
  <c r="B17" i="53"/>
  <c r="C14" i="53"/>
  <c r="C15" i="53"/>
  <c r="B14" i="53"/>
  <c r="B18" i="53"/>
  <c r="B11" i="53"/>
  <c r="B15" i="53"/>
  <c r="B16" i="53"/>
  <c r="C18" i="53"/>
  <c r="C16" i="53"/>
  <c r="J34" i="53"/>
  <c r="L34" i="53" l="1"/>
  <c r="B19" i="53"/>
  <c r="C19" i="53"/>
  <c r="Q42" i="53" l="1"/>
  <c r="Q41" i="53"/>
  <c r="D130" i="49"/>
  <c r="F115" i="49"/>
  <c r="V48" i="60"/>
  <c r="V49" i="60"/>
  <c r="V50" i="60"/>
  <c r="V51" i="60"/>
  <c r="V52" i="60"/>
  <c r="V53" i="60"/>
  <c r="V54" i="60"/>
  <c r="D95" i="27" l="1"/>
  <c r="D106" i="27"/>
  <c r="G113" i="27" s="1"/>
  <c r="D81" i="27"/>
  <c r="G89" i="27" s="1"/>
  <c r="D129" i="27"/>
  <c r="G137" i="27" s="1"/>
  <c r="D94" i="27"/>
  <c r="D93" i="27"/>
  <c r="C69" i="27"/>
  <c r="B69" i="27"/>
  <c r="D57" i="27"/>
  <c r="G65" i="27" s="1"/>
  <c r="D47" i="27"/>
  <c r="D45" i="27"/>
  <c r="D33" i="27"/>
  <c r="G41" i="27" s="1"/>
  <c r="D23" i="27"/>
  <c r="D21" i="27"/>
  <c r="D11" i="27"/>
  <c r="G17" i="27" s="1"/>
  <c r="F17" i="27" s="1"/>
  <c r="L20" i="22" s="1"/>
  <c r="P24" i="25"/>
  <c r="F23" i="11"/>
  <c r="F24" i="11"/>
  <c r="F25" i="11"/>
  <c r="N21" i="11"/>
  <c r="N20" i="11"/>
  <c r="E30" i="11" s="1"/>
  <c r="N19" i="11"/>
  <c r="F28" i="11" s="1"/>
  <c r="X33" i="53"/>
  <c r="AM19" i="22"/>
  <c r="AK19" i="22"/>
  <c r="AM18" i="22"/>
  <c r="AK18" i="22"/>
  <c r="AM17" i="22"/>
  <c r="AK17" i="22"/>
  <c r="AM16" i="22"/>
  <c r="AK16" i="22"/>
  <c r="AM15" i="22"/>
  <c r="AK15" i="22"/>
  <c r="Y15" i="22"/>
  <c r="AM14" i="22"/>
  <c r="AK14" i="22"/>
  <c r="AA14" i="22"/>
  <c r="AM13" i="22"/>
  <c r="AK13" i="22"/>
  <c r="F9" i="22"/>
  <c r="D176" i="49"/>
  <c r="D172" i="49"/>
  <c r="E168" i="49"/>
  <c r="E167" i="49"/>
  <c r="F167" i="49" s="1"/>
  <c r="AL9" i="22" s="1"/>
  <c r="D163" i="49"/>
  <c r="D158" i="49"/>
  <c r="D153" i="49"/>
  <c r="F153" i="49" s="1"/>
  <c r="E148" i="49"/>
  <c r="F148" i="49" s="1"/>
  <c r="E145" i="49"/>
  <c r="F143" i="49" s="1"/>
  <c r="H9" i="22" s="1"/>
  <c r="H143" i="49"/>
  <c r="H8" i="22" s="1"/>
  <c r="D140" i="49"/>
  <c r="D138" i="49"/>
  <c r="D137" i="49"/>
  <c r="D136" i="49"/>
  <c r="D135" i="49"/>
  <c r="D134" i="49"/>
  <c r="F119" i="49"/>
  <c r="J9" i="22" s="1"/>
  <c r="L121" i="49"/>
  <c r="E120" i="49"/>
  <c r="E114" i="49"/>
  <c r="F107" i="49"/>
  <c r="E107" i="49"/>
  <c r="F100" i="49"/>
  <c r="F8" i="22" s="1"/>
  <c r="E100" i="49"/>
  <c r="O44" i="60" s="1"/>
  <c r="D97" i="49"/>
  <c r="D96" i="49"/>
  <c r="D95" i="49"/>
  <c r="D93" i="49"/>
  <c r="E93" i="49" s="1"/>
  <c r="C88" i="49"/>
  <c r="C84" i="49"/>
  <c r="E76" i="49"/>
  <c r="D71" i="49"/>
  <c r="F59" i="49"/>
  <c r="C59" i="49"/>
  <c r="D54" i="49"/>
  <c r="F51" i="49" s="1"/>
  <c r="C8" i="22" s="1"/>
  <c r="D53" i="49"/>
  <c r="D55" i="49" s="1"/>
  <c r="E51" i="49" s="1"/>
  <c r="C9" i="22" s="1"/>
  <c r="E42" i="49"/>
  <c r="D9" i="22" s="1"/>
  <c r="M34" i="49"/>
  <c r="E33" i="49"/>
  <c r="P44" i="60" s="1"/>
  <c r="J20" i="49"/>
  <c r="AG16" i="22" s="1"/>
  <c r="J19" i="49"/>
  <c r="AF16" i="22" s="1"/>
  <c r="J18" i="49"/>
  <c r="AE17" i="22" s="1"/>
  <c r="J17" i="49"/>
  <c r="AD17" i="22" s="1"/>
  <c r="J16" i="49"/>
  <c r="AC18" i="22" s="1"/>
  <c r="J15" i="49"/>
  <c r="AB12" i="22" s="1"/>
  <c r="J14" i="49"/>
  <c r="AA19" i="22" s="1"/>
  <c r="J13" i="49"/>
  <c r="Z19" i="22" s="1"/>
  <c r="J12" i="49"/>
  <c r="Y20" i="22" s="1"/>
  <c r="J11" i="49"/>
  <c r="X20" i="22" s="1"/>
  <c r="J10" i="49"/>
  <c r="W15" i="22" s="1"/>
  <c r="I6" i="49"/>
  <c r="I5" i="49"/>
  <c r="D119" i="27"/>
  <c r="D118" i="27"/>
  <c r="D117" i="27"/>
  <c r="B166" i="60"/>
  <c r="E160" i="60" s="1"/>
  <c r="L164" i="60"/>
  <c r="H49" i="60" s="1"/>
  <c r="L163" i="60"/>
  <c r="E46" i="60" s="1"/>
  <c r="L162" i="60"/>
  <c r="G55" i="60" s="1"/>
  <c r="L161" i="60"/>
  <c r="F46" i="60" s="1"/>
  <c r="C143" i="60"/>
  <c r="O156" i="60" s="1"/>
  <c r="AD55" i="60" s="1"/>
  <c r="O142" i="60"/>
  <c r="Y55" i="60" s="1"/>
  <c r="M142" i="60"/>
  <c r="W55" i="60" s="1"/>
  <c r="C140" i="60"/>
  <c r="C139" i="60"/>
  <c r="C133" i="60"/>
  <c r="E132" i="60" s="1"/>
  <c r="C132" i="60"/>
  <c r="B128" i="60"/>
  <c r="G123" i="60" s="1"/>
  <c r="Q52" i="60"/>
  <c r="AA52" i="60"/>
  <c r="Q51" i="60"/>
  <c r="AA51" i="60"/>
  <c r="C109" i="60"/>
  <c r="C108" i="60"/>
  <c r="E107" i="60"/>
  <c r="C107" i="60"/>
  <c r="Q48" i="60"/>
  <c r="E106" i="60"/>
  <c r="C106" i="60"/>
  <c r="C72" i="60"/>
  <c r="AA54" i="60"/>
  <c r="AA53" i="60"/>
  <c r="Q53" i="60"/>
  <c r="AA50" i="60"/>
  <c r="Q50" i="60"/>
  <c r="AA49" i="60"/>
  <c r="Q49" i="60"/>
  <c r="AA48" i="60"/>
  <c r="N44" i="60"/>
  <c r="L44" i="60"/>
  <c r="K44" i="60"/>
  <c r="C9" i="60"/>
  <c r="C8" i="60"/>
  <c r="D18" i="5"/>
  <c r="C18" i="5"/>
  <c r="B18" i="5"/>
  <c r="L17" i="5"/>
  <c r="D17" i="5" a="1"/>
  <c r="D17" i="5" s="1"/>
  <c r="C17" i="5" a="1"/>
  <c r="C17" i="5" s="1"/>
  <c r="B17" i="5" a="1"/>
  <c r="B17" i="5" s="1"/>
  <c r="L16" i="5"/>
  <c r="D16" i="5" a="1"/>
  <c r="D16" i="5" s="1"/>
  <c r="C16" i="5" a="1"/>
  <c r="C16" i="5" s="1"/>
  <c r="B16" i="5" a="1"/>
  <c r="B16" i="5" s="1"/>
  <c r="L15" i="5"/>
  <c r="D15" i="5" a="1"/>
  <c r="D15" i="5" s="1"/>
  <c r="C15" i="5" a="1"/>
  <c r="C15" i="5" s="1"/>
  <c r="B15" i="5" a="1"/>
  <c r="B15" i="5" s="1"/>
  <c r="L14" i="5"/>
  <c r="D14" i="5" a="1"/>
  <c r="D14" i="5" s="1"/>
  <c r="C14" i="5" a="1"/>
  <c r="C14" i="5" s="1"/>
  <c r="B14" i="5" a="1"/>
  <c r="B14" i="5" s="1"/>
  <c r="L13" i="5"/>
  <c r="D13" i="5" a="1"/>
  <c r="D13" i="5" s="1"/>
  <c r="C13" i="5" a="1"/>
  <c r="C13" i="5" s="1"/>
  <c r="B13" i="5" a="1"/>
  <c r="B13" i="5" s="1"/>
  <c r="Q12" i="5"/>
  <c r="K19" i="5" s="1"/>
  <c r="L12" i="5"/>
  <c r="D12" i="5" a="1"/>
  <c r="D12" i="5" s="1"/>
  <c r="C12" i="5" a="1"/>
  <c r="C12" i="5" s="1"/>
  <c r="B12" i="5" a="1"/>
  <c r="B12" i="5" s="1"/>
  <c r="Q11" i="5"/>
  <c r="J19" i="5" s="1"/>
  <c r="L11" i="5"/>
  <c r="D11" i="5" a="1"/>
  <c r="D11" i="5" s="1"/>
  <c r="C11" i="5" a="1"/>
  <c r="C11" i="5" s="1"/>
  <c r="B11" i="5" a="1"/>
  <c r="B11" i="5" s="1"/>
  <c r="Q10" i="5"/>
  <c r="I19" i="5" s="1"/>
  <c r="E131" i="49" s="1"/>
  <c r="L10" i="5"/>
  <c r="D10" i="5" a="1"/>
  <c r="D10" i="5" s="1"/>
  <c r="C10" i="5" a="1"/>
  <c r="C10" i="5" s="1"/>
  <c r="B10" i="5" a="1"/>
  <c r="B10" i="5" s="1"/>
  <c r="L9" i="5"/>
  <c r="D9" i="5" a="1"/>
  <c r="D9" i="5" s="1"/>
  <c r="K9" i="5" s="1"/>
  <c r="C9" i="5" a="1"/>
  <c r="C9" i="5" s="1"/>
  <c r="B9" i="5" a="1"/>
  <c r="B9" i="5" s="1"/>
  <c r="P22" i="25"/>
  <c r="T16" i="25" a="1"/>
  <c r="T16" i="25" s="1"/>
  <c r="T15" i="25" a="1"/>
  <c r="T15" i="25" s="1"/>
  <c r="T14" i="25" a="1"/>
  <c r="T14" i="25" s="1"/>
  <c r="T13" i="25" a="1"/>
  <c r="T13" i="25" s="1"/>
  <c r="T12" i="25" a="1"/>
  <c r="T12" i="25" s="1"/>
  <c r="T11" i="25" a="1"/>
  <c r="T11" i="25" s="1"/>
  <c r="T10" i="25" a="1"/>
  <c r="T10" i="25" s="1"/>
  <c r="T9" i="25" a="1"/>
  <c r="T9" i="25" s="1"/>
  <c r="T8" i="25" a="1"/>
  <c r="T8" i="25" s="1"/>
  <c r="G40" i="13"/>
  <c r="G39" i="13"/>
  <c r="G38" i="13"/>
  <c r="G37" i="13"/>
  <c r="G36" i="13"/>
  <c r="G35" i="13"/>
  <c r="G34" i="13"/>
  <c r="G33" i="13"/>
  <c r="G32" i="13"/>
  <c r="G42" i="13"/>
  <c r="D76" i="53"/>
  <c r="N67" i="53"/>
  <c r="N66" i="53"/>
  <c r="N65" i="53"/>
  <c r="N64" i="53"/>
  <c r="N63" i="53"/>
  <c r="N62" i="53"/>
  <c r="N61" i="53"/>
  <c r="N60" i="53"/>
  <c r="N59" i="53"/>
  <c r="N58" i="53"/>
  <c r="N57" i="53"/>
  <c r="N56" i="53"/>
  <c r="N55" i="53"/>
  <c r="N54" i="53"/>
  <c r="N53" i="53"/>
  <c r="N52" i="53"/>
  <c r="N51" i="53"/>
  <c r="N50" i="53"/>
  <c r="X34" i="53"/>
  <c r="W33" i="53"/>
  <c r="W34" i="53" s="1"/>
  <c r="V33" i="53"/>
  <c r="V34" i="53" s="1"/>
  <c r="U33" i="53"/>
  <c r="U35" i="53" s="1"/>
  <c r="T33" i="53"/>
  <c r="T35" i="53" s="1"/>
  <c r="S33" i="53"/>
  <c r="S35" i="53" s="1"/>
  <c r="R33" i="53"/>
  <c r="R34" i="53" s="1"/>
  <c r="Q33" i="53"/>
  <c r="Q34" i="53" s="1"/>
  <c r="P33" i="53"/>
  <c r="P35" i="53" s="1"/>
  <c r="O33" i="53"/>
  <c r="O35" i="53" s="1"/>
  <c r="H17" i="12"/>
  <c r="G17" i="12"/>
  <c r="H16" i="12" a="1"/>
  <c r="H16" i="12" s="1"/>
  <c r="G16" i="12" a="1"/>
  <c r="G16" i="12" s="1"/>
  <c r="H15" i="12" a="1"/>
  <c r="H15" i="12" s="1"/>
  <c r="G15" i="12" a="1"/>
  <c r="G15" i="12" s="1"/>
  <c r="H14" i="12" a="1"/>
  <c r="H14" i="12" s="1"/>
  <c r="G14" i="12" a="1"/>
  <c r="G14" i="12" s="1"/>
  <c r="H13" i="12" a="1"/>
  <c r="H13" i="12" s="1"/>
  <c r="G13" i="12" a="1"/>
  <c r="G13" i="12" s="1"/>
  <c r="H12" i="12" a="1"/>
  <c r="H12" i="12" s="1"/>
  <c r="G12" i="12" a="1"/>
  <c r="G12" i="12" s="1"/>
  <c r="H11" i="12" a="1"/>
  <c r="H11" i="12" s="1"/>
  <c r="G11" i="12" a="1"/>
  <c r="G11" i="12" s="1"/>
  <c r="H10" i="12" a="1"/>
  <c r="H10" i="12" s="1"/>
  <c r="G10" i="12" a="1"/>
  <c r="G10" i="12" s="1"/>
  <c r="H9" i="12" a="1"/>
  <c r="H9" i="12" s="1"/>
  <c r="G9" i="12" a="1"/>
  <c r="G9" i="12" s="1"/>
  <c r="H8" i="12" a="1"/>
  <c r="H8" i="12" s="1"/>
  <c r="G8" i="12" a="1"/>
  <c r="G8" i="12" s="1"/>
  <c r="C40" i="6"/>
  <c r="D20" i="6" s="1"/>
  <c r="C39" i="6"/>
  <c r="E26" i="6" s="1"/>
  <c r="AC11" i="22" l="1"/>
  <c r="AD18" i="22"/>
  <c r="AC12" i="22"/>
  <c r="AE12" i="22"/>
  <c r="E49" i="60"/>
  <c r="AC13" i="22"/>
  <c r="G49" i="60"/>
  <c r="P8" i="25"/>
  <c r="T9" i="5"/>
  <c r="F8" i="27" s="1"/>
  <c r="G52" i="60"/>
  <c r="X15" i="22"/>
  <c r="F145" i="49"/>
  <c r="G101" i="27"/>
  <c r="I101" i="27" s="1"/>
  <c r="K18" i="5"/>
  <c r="AC19" i="22"/>
  <c r="O43" i="60"/>
  <c r="K13" i="5"/>
  <c r="T13" i="5" s="1"/>
  <c r="F12" i="27" s="1"/>
  <c r="W16" i="22"/>
  <c r="E25" i="11"/>
  <c r="E24" i="6"/>
  <c r="E9" i="22"/>
  <c r="E21" i="6"/>
  <c r="J32" i="13"/>
  <c r="K32" i="13" s="1"/>
  <c r="AE18" i="22"/>
  <c r="AD11" i="22"/>
  <c r="K10" i="5"/>
  <c r="AE11" i="22"/>
  <c r="AB19" i="22"/>
  <c r="AB13" i="22"/>
  <c r="Z20" i="22"/>
  <c r="AA20" i="22"/>
  <c r="D64" i="60"/>
  <c r="D68" i="60"/>
  <c r="M44" i="60" s="1"/>
  <c r="Z14" i="22"/>
  <c r="E27" i="11"/>
  <c r="E26" i="11"/>
  <c r="E24" i="11"/>
  <c r="I43" i="60"/>
  <c r="G93" i="49"/>
  <c r="E23" i="11"/>
  <c r="J9" i="5"/>
  <c r="K14" i="5"/>
  <c r="T14" i="5" s="1"/>
  <c r="O138" i="60" s="1"/>
  <c r="Y51" i="60" s="1"/>
  <c r="F65" i="27"/>
  <c r="P20" i="22" s="1"/>
  <c r="K12" i="5"/>
  <c r="T12" i="5" s="1"/>
  <c r="M136" i="60" s="1"/>
  <c r="W49" i="60" s="1"/>
  <c r="Q128" i="49"/>
  <c r="D131" i="49"/>
  <c r="C78" i="60"/>
  <c r="C88" i="60"/>
  <c r="E134" i="49"/>
  <c r="F113" i="27"/>
  <c r="T20" i="22" s="1"/>
  <c r="I17" i="5"/>
  <c r="F19" i="22" s="1"/>
  <c r="C98" i="60"/>
  <c r="O137" i="60"/>
  <c r="Y50" i="60" s="1"/>
  <c r="N34" i="49"/>
  <c r="E135" i="49"/>
  <c r="F132" i="27"/>
  <c r="V15" i="22" s="1"/>
  <c r="D88" i="49"/>
  <c r="L18" i="5"/>
  <c r="C20" i="22" s="1"/>
  <c r="K17" i="5"/>
  <c r="T17" i="5" s="1"/>
  <c r="F112" i="27" s="1"/>
  <c r="T19" i="22" s="1"/>
  <c r="E136" i="49"/>
  <c r="F41" i="27"/>
  <c r="N20" i="22" s="1"/>
  <c r="I16" i="5"/>
  <c r="F18" i="22" s="1"/>
  <c r="E137" i="49"/>
  <c r="F36" i="27"/>
  <c r="N15" i="22" s="1"/>
  <c r="F137" i="27"/>
  <c r="V20" i="22" s="1"/>
  <c r="D59" i="49"/>
  <c r="E59" i="49" s="1"/>
  <c r="M121" i="49"/>
  <c r="G15" i="22"/>
  <c r="F108" i="27"/>
  <c r="T15" i="22" s="1"/>
  <c r="I12" i="5"/>
  <c r="F14" i="22" s="1"/>
  <c r="E140" i="49"/>
  <c r="G134" i="49" s="1"/>
  <c r="K9" i="22" s="1"/>
  <c r="F89" i="27"/>
  <c r="R20" i="22" s="1"/>
  <c r="F19" i="53"/>
  <c r="P34" i="53"/>
  <c r="S34" i="53"/>
  <c r="B160" i="60"/>
  <c r="C154" i="60"/>
  <c r="F48" i="60"/>
  <c r="E154" i="60"/>
  <c r="G48" i="60"/>
  <c r="B155" i="60"/>
  <c r="C160" i="60"/>
  <c r="B158" i="60"/>
  <c r="D154" i="60"/>
  <c r="F53" i="60"/>
  <c r="C155" i="60"/>
  <c r="G53" i="60"/>
  <c r="D155" i="60"/>
  <c r="C161" i="60"/>
  <c r="F52" i="60"/>
  <c r="D159" i="60"/>
  <c r="B161" i="60"/>
  <c r="F49" i="60"/>
  <c r="N156" i="60"/>
  <c r="AC55" i="60" s="1"/>
  <c r="D161" i="60"/>
  <c r="C157" i="60"/>
  <c r="B157" i="60"/>
  <c r="E162" i="60"/>
  <c r="D157" i="60"/>
  <c r="B153" i="60"/>
  <c r="E157" i="60"/>
  <c r="C153" i="60"/>
  <c r="E155" i="60"/>
  <c r="C158" i="60"/>
  <c r="E161" i="60"/>
  <c r="E48" i="60"/>
  <c r="E54" i="60"/>
  <c r="D153" i="60"/>
  <c r="B156" i="60"/>
  <c r="D158" i="60"/>
  <c r="E47" i="60"/>
  <c r="E51" i="60"/>
  <c r="E153" i="60"/>
  <c r="C156" i="60"/>
  <c r="E158" i="60"/>
  <c r="B162" i="60"/>
  <c r="E55" i="60"/>
  <c r="D156" i="60"/>
  <c r="B159" i="60"/>
  <c r="C162" i="60"/>
  <c r="E50" i="60"/>
  <c r="E52" i="60"/>
  <c r="B154" i="60"/>
  <c r="E156" i="60"/>
  <c r="C159" i="60"/>
  <c r="D162" i="60"/>
  <c r="E159" i="60"/>
  <c r="E53" i="60"/>
  <c r="H52" i="60"/>
  <c r="P151" i="60"/>
  <c r="AE50" i="60" s="1"/>
  <c r="H50" i="60"/>
  <c r="H55" i="60"/>
  <c r="N152" i="60"/>
  <c r="AC51" i="60" s="1"/>
  <c r="H48" i="60"/>
  <c r="J55" i="60"/>
  <c r="H53" i="60"/>
  <c r="M156" i="60"/>
  <c r="AB55" i="60" s="1"/>
  <c r="H46" i="60"/>
  <c r="H51" i="60"/>
  <c r="P156" i="60"/>
  <c r="AE55" i="60" s="1"/>
  <c r="H47" i="60"/>
  <c r="H54" i="60"/>
  <c r="M151" i="60"/>
  <c r="AB50" i="60" s="1"/>
  <c r="AF17" i="22"/>
  <c r="AD13" i="22"/>
  <c r="AB14" i="22"/>
  <c r="Z15" i="22"/>
  <c r="X16" i="22"/>
  <c r="AF18" i="22"/>
  <c r="AD19" i="22"/>
  <c r="AB20" i="22"/>
  <c r="AD12" i="22"/>
  <c r="AG17" i="22"/>
  <c r="AF11" i="22"/>
  <c r="AF12" i="22"/>
  <c r="AE13" i="22"/>
  <c r="AC14" i="22"/>
  <c r="AA15" i="22"/>
  <c r="Y16" i="22"/>
  <c r="W17" i="22"/>
  <c r="AG18" i="22"/>
  <c r="AE19" i="22"/>
  <c r="AC20" i="22"/>
  <c r="AG11" i="22"/>
  <c r="AG12" i="22"/>
  <c r="AF13" i="22"/>
  <c r="AD14" i="22"/>
  <c r="AB15" i="22"/>
  <c r="Z16" i="22"/>
  <c r="X17" i="22"/>
  <c r="AF19" i="22"/>
  <c r="AD20" i="22"/>
  <c r="Q131" i="49"/>
  <c r="G11" i="22"/>
  <c r="AG13" i="22"/>
  <c r="AE14" i="22"/>
  <c r="AC15" i="22"/>
  <c r="AA16" i="22"/>
  <c r="Y17" i="22"/>
  <c r="W18" i="22"/>
  <c r="AG19" i="22"/>
  <c r="AE20" i="22"/>
  <c r="I44" i="60"/>
  <c r="Q132" i="49"/>
  <c r="W11" i="22"/>
  <c r="W12" i="22"/>
  <c r="AF14" i="22"/>
  <c r="AD15" i="22"/>
  <c r="AB16" i="22"/>
  <c r="Z17" i="22"/>
  <c r="X18" i="22"/>
  <c r="AF20" i="22"/>
  <c r="Q133" i="49"/>
  <c r="X11" i="22"/>
  <c r="X12" i="22"/>
  <c r="W13" i="22"/>
  <c r="AG14" i="22"/>
  <c r="AE15" i="22"/>
  <c r="AC16" i="22"/>
  <c r="AA17" i="22"/>
  <c r="Y18" i="22"/>
  <c r="W19" i="22"/>
  <c r="AG20" i="22"/>
  <c r="Y11" i="22"/>
  <c r="Y12" i="22"/>
  <c r="X13" i="22"/>
  <c r="AF15" i="22"/>
  <c r="AD16" i="22"/>
  <c r="AB17" i="22"/>
  <c r="Z18" i="22"/>
  <c r="X19" i="22"/>
  <c r="G20" i="22"/>
  <c r="Z11" i="22"/>
  <c r="Z12" i="22"/>
  <c r="Y13" i="22"/>
  <c r="W14" i="22"/>
  <c r="AG15" i="22"/>
  <c r="AE16" i="22"/>
  <c r="AC17" i="22"/>
  <c r="AA18" i="22"/>
  <c r="Y19" i="22"/>
  <c r="W20" i="22"/>
  <c r="AA11" i="22"/>
  <c r="AA12" i="22"/>
  <c r="Z13" i="22"/>
  <c r="X14" i="22"/>
  <c r="AB18" i="22"/>
  <c r="AB11" i="22"/>
  <c r="AA13" i="22"/>
  <c r="Y14" i="22"/>
  <c r="V35" i="53"/>
  <c r="W35" i="53"/>
  <c r="N128" i="60"/>
  <c r="S55" i="60" s="1"/>
  <c r="T34" i="53"/>
  <c r="U34" i="53"/>
  <c r="O34" i="53"/>
  <c r="E25" i="6"/>
  <c r="E23" i="6"/>
  <c r="E22" i="6"/>
  <c r="E20" i="6"/>
  <c r="E29" i="6"/>
  <c r="E28" i="6"/>
  <c r="E27" i="6"/>
  <c r="J40" i="13"/>
  <c r="K40" i="13" s="1"/>
  <c r="J33" i="13"/>
  <c r="K33" i="13" s="1"/>
  <c r="J35" i="13"/>
  <c r="K35" i="13" s="1"/>
  <c r="J34" i="13"/>
  <c r="K34" i="13" s="1"/>
  <c r="J39" i="13"/>
  <c r="K39" i="13" s="1"/>
  <c r="J37" i="13"/>
  <c r="K37" i="13" s="1"/>
  <c r="J38" i="13"/>
  <c r="K38" i="13" s="1"/>
  <c r="J36" i="13"/>
  <c r="K36" i="13" s="1"/>
  <c r="G29" i="27"/>
  <c r="G125" i="27"/>
  <c r="G53" i="27"/>
  <c r="Q127" i="49"/>
  <c r="Q134" i="49"/>
  <c r="Q126" i="49"/>
  <c r="Q129" i="49"/>
  <c r="Q130" i="49"/>
  <c r="F22" i="11"/>
  <c r="F31" i="11"/>
  <c r="E22" i="11"/>
  <c r="E29" i="11"/>
  <c r="F27" i="11"/>
  <c r="E28" i="11"/>
  <c r="F26" i="11"/>
  <c r="F30" i="11"/>
  <c r="E31" i="11"/>
  <c r="F29" i="11"/>
  <c r="D69" i="27"/>
  <c r="G77" i="27" s="1"/>
  <c r="C12" i="22"/>
  <c r="H12" i="22"/>
  <c r="H11" i="22"/>
  <c r="C11" i="22"/>
  <c r="O98" i="49"/>
  <c r="O93" i="49"/>
  <c r="O91" i="49"/>
  <c r="O94" i="49"/>
  <c r="O100" i="49"/>
  <c r="O92" i="49"/>
  <c r="O97" i="49"/>
  <c r="O95" i="49"/>
  <c r="O99" i="49"/>
  <c r="O96" i="49"/>
  <c r="Q54" i="60"/>
  <c r="G46" i="60"/>
  <c r="G50" i="60"/>
  <c r="G54" i="60"/>
  <c r="N142" i="60"/>
  <c r="X55" i="60" s="1"/>
  <c r="F50" i="60"/>
  <c r="F54" i="60"/>
  <c r="F47" i="60"/>
  <c r="F51" i="60"/>
  <c r="F55" i="60"/>
  <c r="P128" i="60"/>
  <c r="U55" i="60" s="1"/>
  <c r="N137" i="60"/>
  <c r="X50" i="60" s="1"/>
  <c r="P142" i="60"/>
  <c r="Z55" i="60" s="1"/>
  <c r="D160" i="60"/>
  <c r="G47" i="60"/>
  <c r="G51" i="60"/>
  <c r="P152" i="60"/>
  <c r="AE51" i="60" s="1"/>
  <c r="P133" i="60"/>
  <c r="Z46" i="60" s="1"/>
  <c r="J16" i="5"/>
  <c r="J12" i="5"/>
  <c r="K16" i="5"/>
  <c r="I10" i="5"/>
  <c r="F12" i="22" s="1"/>
  <c r="J14" i="5"/>
  <c r="J17" i="5"/>
  <c r="I11" i="5"/>
  <c r="F13" i="22" s="1"/>
  <c r="J15" i="5"/>
  <c r="I18" i="5"/>
  <c r="J10" i="5"/>
  <c r="I15" i="5"/>
  <c r="F17" i="22" s="1"/>
  <c r="J11" i="5"/>
  <c r="K15" i="5"/>
  <c r="T15" i="5" s="1"/>
  <c r="N139" i="60" s="1"/>
  <c r="X52" i="60" s="1"/>
  <c r="J18" i="5"/>
  <c r="I13" i="5"/>
  <c r="F15" i="22" s="1"/>
  <c r="I14" i="5"/>
  <c r="F16" i="22" s="1"/>
  <c r="I9" i="5"/>
  <c r="F11" i="22" s="1"/>
  <c r="K11" i="5"/>
  <c r="T11" i="5" s="1"/>
  <c r="I94" i="27" s="1"/>
  <c r="F94" i="27" s="1"/>
  <c r="S13" i="22" s="1"/>
  <c r="J13" i="5"/>
  <c r="P12" i="25"/>
  <c r="P13" i="25"/>
  <c r="P9" i="25"/>
  <c r="P16" i="25"/>
  <c r="P14" i="25"/>
  <c r="P10" i="25"/>
  <c r="P15" i="25"/>
  <c r="P11" i="25"/>
  <c r="Q35" i="53"/>
  <c r="R35" i="53"/>
  <c r="X35" i="53"/>
  <c r="M147" i="60" l="1"/>
  <c r="AB46" i="60" s="1"/>
  <c r="N147" i="60"/>
  <c r="AC46" i="60" s="1"/>
  <c r="M150" i="60"/>
  <c r="AB49" i="60" s="1"/>
  <c r="P137" i="60"/>
  <c r="Z50" i="60" s="1"/>
  <c r="N133" i="60"/>
  <c r="X46" i="60" s="1"/>
  <c r="N150" i="60"/>
  <c r="AC49" i="60" s="1"/>
  <c r="P119" i="60"/>
  <c r="U46" i="60" s="1"/>
  <c r="I92" i="27"/>
  <c r="F92" i="27" s="1"/>
  <c r="S11" i="22" s="1"/>
  <c r="F56" i="27"/>
  <c r="P11" i="22" s="1"/>
  <c r="N136" i="60"/>
  <c r="X49" i="60" s="1"/>
  <c r="O151" i="60"/>
  <c r="AD50" i="60" s="1"/>
  <c r="N138" i="60"/>
  <c r="X51" i="60" s="1"/>
  <c r="F80" i="27"/>
  <c r="R11" i="22" s="1"/>
  <c r="O133" i="60"/>
  <c r="Y46" i="60" s="1"/>
  <c r="P147" i="60"/>
  <c r="AE46" i="60" s="1"/>
  <c r="M133" i="60"/>
  <c r="W46" i="60" s="1"/>
  <c r="T16" i="5"/>
  <c r="F135" i="27" s="1"/>
  <c r="V18" i="22" s="1"/>
  <c r="F104" i="27"/>
  <c r="T11" i="22" s="1"/>
  <c r="N151" i="60"/>
  <c r="AC50" i="60" s="1"/>
  <c r="F128" i="27"/>
  <c r="V11" i="22" s="1"/>
  <c r="T10" i="5"/>
  <c r="P148" i="60" s="1"/>
  <c r="AE47" i="60" s="1"/>
  <c r="O147" i="60"/>
  <c r="AD46" i="60" s="1"/>
  <c r="F84" i="27"/>
  <c r="R15" i="22" s="1"/>
  <c r="F32" i="27"/>
  <c r="N11" i="22" s="1"/>
  <c r="N44" i="49"/>
  <c r="AW14" i="22" s="1"/>
  <c r="I96" i="27"/>
  <c r="F96" i="27" s="1"/>
  <c r="S15" i="22" s="1"/>
  <c r="U9" i="5"/>
  <c r="G16" i="22"/>
  <c r="O152" i="60"/>
  <c r="AD51" i="60" s="1"/>
  <c r="C15" i="22"/>
  <c r="P150" i="60"/>
  <c r="AE49" i="60" s="1"/>
  <c r="H16" i="22"/>
  <c r="M137" i="60"/>
  <c r="W50" i="60" s="1"/>
  <c r="G14" i="22"/>
  <c r="P138" i="60"/>
  <c r="Z51" i="60" s="1"/>
  <c r="I97" i="27"/>
  <c r="F97" i="27" s="1"/>
  <c r="S16" i="22" s="1"/>
  <c r="C14" i="22"/>
  <c r="M152" i="60"/>
  <c r="AB51" i="60" s="1"/>
  <c r="F60" i="27"/>
  <c r="P15" i="22" s="1"/>
  <c r="P122" i="60"/>
  <c r="U49" i="60" s="1"/>
  <c r="H14" i="22"/>
  <c r="C16" i="22"/>
  <c r="P136" i="60"/>
  <c r="Z49" i="60" s="1"/>
  <c r="H15" i="22"/>
  <c r="F85" i="27"/>
  <c r="R16" i="22" s="1"/>
  <c r="F11" i="27"/>
  <c r="F59" i="27"/>
  <c r="P14" i="22" s="1"/>
  <c r="M155" i="60"/>
  <c r="AB54" i="60" s="1"/>
  <c r="O150" i="60"/>
  <c r="AD49" i="60" s="1"/>
  <c r="F107" i="27"/>
  <c r="T14" i="22" s="1"/>
  <c r="P141" i="60"/>
  <c r="Z54" i="60" s="1"/>
  <c r="O155" i="60"/>
  <c r="AD54" i="60" s="1"/>
  <c r="N45" i="49"/>
  <c r="AV15" i="22" s="1"/>
  <c r="F109" i="27"/>
  <c r="T16" i="22" s="1"/>
  <c r="N46" i="49"/>
  <c r="AV16" i="22" s="1"/>
  <c r="F35" i="27"/>
  <c r="N14" i="22" s="1"/>
  <c r="F83" i="27"/>
  <c r="R14" i="22" s="1"/>
  <c r="F37" i="27"/>
  <c r="N16" i="22" s="1"/>
  <c r="M138" i="60"/>
  <c r="W51" i="60" s="1"/>
  <c r="I95" i="27"/>
  <c r="F95" i="27" s="1"/>
  <c r="S14" i="22" s="1"/>
  <c r="N41" i="49"/>
  <c r="AW11" i="22" s="1"/>
  <c r="V12" i="5"/>
  <c r="J49" i="60" s="1"/>
  <c r="C19" i="22"/>
  <c r="H20" i="22"/>
  <c r="I49" i="60"/>
  <c r="F139" i="49"/>
  <c r="F135" i="49" s="1"/>
  <c r="F13" i="27"/>
  <c r="B134" i="60"/>
  <c r="C135" i="60" s="1"/>
  <c r="D132" i="60" s="1"/>
  <c r="U13" i="5"/>
  <c r="D168" i="49"/>
  <c r="G167" i="49" s="1"/>
  <c r="AL8" i="22" s="1"/>
  <c r="AL15" i="22" s="1"/>
  <c r="E110" i="60"/>
  <c r="F107" i="60" s="1"/>
  <c r="M105" i="60" s="1"/>
  <c r="F133" i="27"/>
  <c r="V16" i="22" s="1"/>
  <c r="O136" i="60"/>
  <c r="Y49" i="60" s="1"/>
  <c r="F61" i="27"/>
  <c r="P16" i="22" s="1"/>
  <c r="N50" i="49"/>
  <c r="AW20" i="22" s="1"/>
  <c r="AT14" i="22"/>
  <c r="H18" i="22"/>
  <c r="N49" i="49"/>
  <c r="AS19" i="22" s="1"/>
  <c r="H19" i="22"/>
  <c r="G19" i="22"/>
  <c r="F131" i="27"/>
  <c r="V14" i="22" s="1"/>
  <c r="N48" i="49"/>
  <c r="AU18" i="22" s="1"/>
  <c r="G13" i="22"/>
  <c r="N135" i="60"/>
  <c r="X48" i="60" s="1"/>
  <c r="F64" i="27"/>
  <c r="P19" i="22" s="1"/>
  <c r="H13" i="22"/>
  <c r="O135" i="60"/>
  <c r="Y48" i="60" s="1"/>
  <c r="M135" i="60"/>
  <c r="W48" i="60" s="1"/>
  <c r="F10" i="27"/>
  <c r="F106" i="27"/>
  <c r="T13" i="22" s="1"/>
  <c r="N149" i="60"/>
  <c r="AC48" i="60" s="1"/>
  <c r="N43" i="49"/>
  <c r="AV13" i="22" s="1"/>
  <c r="F82" i="27"/>
  <c r="R13" i="22" s="1"/>
  <c r="U15" i="5"/>
  <c r="E88" i="49"/>
  <c r="F76" i="49" s="1"/>
  <c r="O49" i="49" s="1"/>
  <c r="C18" i="22"/>
  <c r="F75" i="27"/>
  <c r="Q18" i="22" s="1"/>
  <c r="F76" i="27"/>
  <c r="Q19" i="22" s="1"/>
  <c r="F77" i="27"/>
  <c r="Q20" i="22" s="1"/>
  <c r="F70" i="27"/>
  <c r="Q13" i="22" s="1"/>
  <c r="F68" i="27"/>
  <c r="Q11" i="22" s="1"/>
  <c r="F71" i="27"/>
  <c r="Q14" i="22" s="1"/>
  <c r="F72" i="27"/>
  <c r="Q15" i="22" s="1"/>
  <c r="F73" i="27"/>
  <c r="Q16" i="22" s="1"/>
  <c r="F74" i="27"/>
  <c r="Q17" i="22" s="1"/>
  <c r="F121" i="27"/>
  <c r="U16" i="22" s="1"/>
  <c r="F122" i="27"/>
  <c r="U17" i="22" s="1"/>
  <c r="F123" i="27"/>
  <c r="U18" i="22" s="1"/>
  <c r="F124" i="27"/>
  <c r="U19" i="22" s="1"/>
  <c r="F125" i="27"/>
  <c r="U20" i="22" s="1"/>
  <c r="F118" i="27"/>
  <c r="U13" i="22" s="1"/>
  <c r="F116" i="27"/>
  <c r="U11" i="22" s="1"/>
  <c r="F119" i="27"/>
  <c r="U14" i="22" s="1"/>
  <c r="F120" i="27"/>
  <c r="U15" i="22" s="1"/>
  <c r="C99" i="60"/>
  <c r="E96" i="60" s="1"/>
  <c r="N43" i="60" s="1"/>
  <c r="N47" i="60" s="1"/>
  <c r="P153" i="60"/>
  <c r="AE52" i="60" s="1"/>
  <c r="N153" i="60"/>
  <c r="AC52" i="60" s="1"/>
  <c r="N155" i="60"/>
  <c r="AC54" i="60" s="1"/>
  <c r="P125" i="60"/>
  <c r="U52" i="60" s="1"/>
  <c r="O149" i="60"/>
  <c r="AD48" i="60" s="1"/>
  <c r="F20" i="22"/>
  <c r="F27" i="27"/>
  <c r="M18" i="22" s="1"/>
  <c r="F23" i="27"/>
  <c r="M14" i="22" s="1"/>
  <c r="F28" i="27"/>
  <c r="M19" i="22" s="1"/>
  <c r="F20" i="27"/>
  <c r="M11" i="22" s="1"/>
  <c r="F29" i="27"/>
  <c r="M20" i="22" s="1"/>
  <c r="F22" i="27"/>
  <c r="M13" i="22" s="1"/>
  <c r="F24" i="27"/>
  <c r="M15" i="22" s="1"/>
  <c r="F25" i="27"/>
  <c r="M16" i="22" s="1"/>
  <c r="F26" i="27"/>
  <c r="M17" i="22" s="1"/>
  <c r="G17" i="22"/>
  <c r="M153" i="60"/>
  <c r="AB52" i="60" s="1"/>
  <c r="F62" i="27"/>
  <c r="P17" i="22" s="1"/>
  <c r="N121" i="49"/>
  <c r="E119" i="49" s="1"/>
  <c r="H119" i="49" s="1"/>
  <c r="O134" i="49" s="1"/>
  <c r="P134" i="49" s="1"/>
  <c r="R134" i="49" s="1"/>
  <c r="P155" i="60"/>
  <c r="AE54" i="60" s="1"/>
  <c r="P149" i="60"/>
  <c r="AE48" i="60" s="1"/>
  <c r="F47" i="27"/>
  <c r="O14" i="22" s="1"/>
  <c r="F48" i="27"/>
  <c r="O15" i="22" s="1"/>
  <c r="F53" i="27"/>
  <c r="O20" i="22" s="1"/>
  <c r="F49" i="27"/>
  <c r="O16" i="22" s="1"/>
  <c r="F50" i="27"/>
  <c r="O17" i="22" s="1"/>
  <c r="F51" i="27"/>
  <c r="O18" i="22" s="1"/>
  <c r="F52" i="27"/>
  <c r="O19" i="22" s="1"/>
  <c r="F44" i="27"/>
  <c r="O11" i="22" s="1"/>
  <c r="F46" i="27"/>
  <c r="O13" i="22" s="1"/>
  <c r="P139" i="60"/>
  <c r="Z52" i="60" s="1"/>
  <c r="C17" i="22"/>
  <c r="AS14" i="22"/>
  <c r="P140" i="60"/>
  <c r="Z53" i="60" s="1"/>
  <c r="M154" i="60"/>
  <c r="AB53" i="60" s="1"/>
  <c r="F130" i="27"/>
  <c r="V13" i="22" s="1"/>
  <c r="O139" i="60"/>
  <c r="Y52" i="60" s="1"/>
  <c r="M139" i="60"/>
  <c r="W52" i="60" s="1"/>
  <c r="I98" i="27"/>
  <c r="F98" i="27" s="1"/>
  <c r="S17" i="22" s="1"/>
  <c r="F38" i="27"/>
  <c r="N17" i="22" s="1"/>
  <c r="F134" i="27"/>
  <c r="V17" i="22" s="1"/>
  <c r="F14" i="27"/>
  <c r="N47" i="49"/>
  <c r="AW17" i="22" s="1"/>
  <c r="C89" i="60"/>
  <c r="E86" i="60" s="1"/>
  <c r="L43" i="60" s="1"/>
  <c r="C79" i="60"/>
  <c r="E76" i="60" s="1"/>
  <c r="K43" i="60" s="1"/>
  <c r="L55" i="60" s="1"/>
  <c r="O153" i="60"/>
  <c r="AD52" i="60" s="1"/>
  <c r="M149" i="60"/>
  <c r="AB48" i="60" s="1"/>
  <c r="P154" i="60"/>
  <c r="AE53" i="60" s="1"/>
  <c r="F63" i="27"/>
  <c r="P18" i="22" s="1"/>
  <c r="F16" i="27"/>
  <c r="O141" i="60"/>
  <c r="Y54" i="60" s="1"/>
  <c r="M141" i="60"/>
  <c r="W54" i="60" s="1"/>
  <c r="I100" i="27"/>
  <c r="F100" i="27" s="1"/>
  <c r="S19" i="22" s="1"/>
  <c r="N42" i="49"/>
  <c r="AV12" i="22" s="1"/>
  <c r="C13" i="22"/>
  <c r="H17" i="22"/>
  <c r="AV14" i="22"/>
  <c r="E96" i="49"/>
  <c r="O34" i="49"/>
  <c r="P34" i="49" s="1"/>
  <c r="E8" i="22" s="1"/>
  <c r="N141" i="60"/>
  <c r="X54" i="60" s="1"/>
  <c r="P135" i="60"/>
  <c r="Z48" i="60" s="1"/>
  <c r="F110" i="27"/>
  <c r="T17" i="22" s="1"/>
  <c r="F86" i="27"/>
  <c r="R17" i="22" s="1"/>
  <c r="F40" i="27"/>
  <c r="N19" i="22" s="1"/>
  <c r="F111" i="27"/>
  <c r="T18" i="22" s="1"/>
  <c r="I99" i="27"/>
  <c r="F99" i="27" s="1"/>
  <c r="S18" i="22" s="1"/>
  <c r="O140" i="60"/>
  <c r="Y53" i="60" s="1"/>
  <c r="M140" i="60"/>
  <c r="W53" i="60" s="1"/>
  <c r="F136" i="27"/>
  <c r="V19" i="22" s="1"/>
  <c r="F58" i="27"/>
  <c r="P13" i="22" s="1"/>
  <c r="F88" i="27"/>
  <c r="R19" i="22" s="1"/>
  <c r="F34" i="27"/>
  <c r="N13" i="22" s="1"/>
  <c r="I47" i="60"/>
  <c r="O55" i="60"/>
  <c r="I46" i="60"/>
  <c r="O51" i="60"/>
  <c r="I52" i="60"/>
  <c r="O48" i="60"/>
  <c r="I53" i="60"/>
  <c r="O53" i="60"/>
  <c r="I48" i="60"/>
  <c r="O47" i="60"/>
  <c r="I54" i="60"/>
  <c r="O52" i="60"/>
  <c r="O46" i="60"/>
  <c r="O54" i="60"/>
  <c r="I55" i="60"/>
  <c r="I50" i="60"/>
  <c r="O50" i="60"/>
  <c r="I51" i="60"/>
  <c r="O49" i="60"/>
  <c r="O127" i="60"/>
  <c r="T54" i="60" s="1"/>
  <c r="N127" i="60"/>
  <c r="S54" i="60" s="1"/>
  <c r="P127" i="60"/>
  <c r="U54" i="60" s="1"/>
  <c r="M127" i="60"/>
  <c r="R54" i="60" s="1"/>
  <c r="N119" i="60"/>
  <c r="S46" i="60" s="1"/>
  <c r="N122" i="60"/>
  <c r="S49" i="60" s="1"/>
  <c r="P123" i="60"/>
  <c r="U50" i="60" s="1"/>
  <c r="O123" i="60"/>
  <c r="T50" i="60" s="1"/>
  <c r="M123" i="60"/>
  <c r="R50" i="60" s="1"/>
  <c r="O121" i="60"/>
  <c r="T48" i="60" s="1"/>
  <c r="N121" i="60"/>
  <c r="S48" i="60" s="1"/>
  <c r="M121" i="60"/>
  <c r="R48" i="60" s="1"/>
  <c r="P121" i="60"/>
  <c r="U48" i="60" s="1"/>
  <c r="O125" i="60"/>
  <c r="T52" i="60" s="1"/>
  <c r="M125" i="60"/>
  <c r="R52" i="60" s="1"/>
  <c r="P124" i="60"/>
  <c r="U51" i="60" s="1"/>
  <c r="O124" i="60"/>
  <c r="T51" i="60" s="1"/>
  <c r="N124" i="60"/>
  <c r="S51" i="60" s="1"/>
  <c r="M124" i="60"/>
  <c r="R51" i="60" s="1"/>
  <c r="M119" i="60"/>
  <c r="R46" i="60" s="1"/>
  <c r="O119" i="60"/>
  <c r="T46" i="60" s="1"/>
  <c r="N125" i="60"/>
  <c r="S52" i="60" s="1"/>
  <c r="O122" i="60"/>
  <c r="T49" i="60" s="1"/>
  <c r="M122" i="60"/>
  <c r="R49" i="60" s="1"/>
  <c r="N123" i="60"/>
  <c r="S50" i="60" s="1"/>
  <c r="O128" i="60"/>
  <c r="T55" i="60" s="1"/>
  <c r="M128" i="60"/>
  <c r="R55" i="60" s="1"/>
  <c r="K41" i="13"/>
  <c r="D46" i="13" s="1"/>
  <c r="F101" i="27" s="1"/>
  <c r="S20" i="22" s="1"/>
  <c r="AS18" i="22"/>
  <c r="AW18" i="22"/>
  <c r="AV18" i="22"/>
  <c r="AW16" i="22"/>
  <c r="AT16" i="22"/>
  <c r="AU16" i="22"/>
  <c r="AS16" i="22"/>
  <c r="AS15" i="22"/>
  <c r="AW15" i="22"/>
  <c r="V47" i="60"/>
  <c r="O46" i="49"/>
  <c r="O45" i="49"/>
  <c r="V11" i="5"/>
  <c r="J48" i="60" s="1"/>
  <c r="V9" i="5"/>
  <c r="J46" i="60" s="1"/>
  <c r="V17" i="5"/>
  <c r="J54" i="60" s="1"/>
  <c r="V14" i="5"/>
  <c r="J51" i="60" s="1"/>
  <c r="U17" i="5"/>
  <c r="V10" i="5"/>
  <c r="J47" i="60" s="1"/>
  <c r="U11" i="5"/>
  <c r="V16" i="5"/>
  <c r="J53" i="60" s="1"/>
  <c r="U14" i="5"/>
  <c r="V15" i="5"/>
  <c r="J52" i="60" s="1"/>
  <c r="U12" i="5"/>
  <c r="U10" i="5"/>
  <c r="V13" i="5"/>
  <c r="J50" i="60" s="1"/>
  <c r="U16" i="5"/>
  <c r="C41" i="6"/>
  <c r="G19" i="11"/>
  <c r="G20" i="11"/>
  <c r="H20" i="11"/>
  <c r="I20" i="11"/>
  <c r="J20" i="11"/>
  <c r="O126" i="60" l="1"/>
  <c r="T53" i="60" s="1"/>
  <c r="O148" i="60"/>
  <c r="AD47" i="60" s="1"/>
  <c r="F15" i="27"/>
  <c r="F39" i="27"/>
  <c r="N18" i="22" s="1"/>
  <c r="AS11" i="22"/>
  <c r="P126" i="60"/>
  <c r="U53" i="60" s="1"/>
  <c r="F9" i="27"/>
  <c r="F33" i="27"/>
  <c r="N12" i="22" s="1"/>
  <c r="P120" i="60"/>
  <c r="U47" i="60" s="1"/>
  <c r="M148" i="60"/>
  <c r="AB47" i="60" s="1"/>
  <c r="F129" i="27"/>
  <c r="V12" i="22" s="1"/>
  <c r="N134" i="60"/>
  <c r="X47" i="60" s="1"/>
  <c r="F81" i="27"/>
  <c r="R12" i="22" s="1"/>
  <c r="P134" i="60"/>
  <c r="Z47" i="60" s="1"/>
  <c r="M134" i="60"/>
  <c r="W47" i="60" s="1"/>
  <c r="G12" i="22"/>
  <c r="O134" i="60"/>
  <c r="Y47" i="60" s="1"/>
  <c r="N148" i="60"/>
  <c r="AC47" i="60" s="1"/>
  <c r="F105" i="27"/>
  <c r="T12" i="22" s="1"/>
  <c r="F87" i="27"/>
  <c r="R18" i="22" s="1"/>
  <c r="F117" i="27"/>
  <c r="U12" i="22" s="1"/>
  <c r="AV19" i="22"/>
  <c r="AU19" i="22"/>
  <c r="O154" i="60"/>
  <c r="AD53" i="60" s="1"/>
  <c r="N140" i="60"/>
  <c r="X53" i="60" s="1"/>
  <c r="I93" i="27"/>
  <c r="F93" i="27" s="1"/>
  <c r="S12" i="22" s="1"/>
  <c r="F21" i="27"/>
  <c r="M12" i="22" s="1"/>
  <c r="N126" i="60"/>
  <c r="S53" i="60" s="1"/>
  <c r="M120" i="60"/>
  <c r="R47" i="60" s="1"/>
  <c r="N120" i="60"/>
  <c r="S47" i="60" s="1"/>
  <c r="N154" i="60"/>
  <c r="AC53" i="60" s="1"/>
  <c r="M113" i="60"/>
  <c r="V55" i="60" s="1"/>
  <c r="O120" i="60"/>
  <c r="T47" i="60" s="1"/>
  <c r="G18" i="22"/>
  <c r="AT19" i="22"/>
  <c r="M104" i="60"/>
  <c r="V46" i="60" s="1"/>
  <c r="F45" i="27"/>
  <c r="O12" i="22" s="1"/>
  <c r="F69" i="27"/>
  <c r="Q12" i="22" s="1"/>
  <c r="O41" i="49"/>
  <c r="M126" i="60"/>
  <c r="R53" i="60" s="1"/>
  <c r="F57" i="27"/>
  <c r="P12" i="22" s="1"/>
  <c r="N49" i="60"/>
  <c r="F134" i="49"/>
  <c r="O50" i="49"/>
  <c r="P68" i="49" s="1"/>
  <c r="AL14" i="22"/>
  <c r="AT11" i="22"/>
  <c r="N52" i="60"/>
  <c r="AS20" i="22"/>
  <c r="N53" i="60"/>
  <c r="AV20" i="22"/>
  <c r="N54" i="60"/>
  <c r="AT20" i="22"/>
  <c r="AU20" i="22"/>
  <c r="N46" i="60"/>
  <c r="N55" i="60"/>
  <c r="K53" i="60"/>
  <c r="L49" i="60"/>
  <c r="N48" i="60"/>
  <c r="N51" i="60"/>
  <c r="AT18" i="22"/>
  <c r="AU14" i="22"/>
  <c r="AU11" i="22"/>
  <c r="AL12" i="22"/>
  <c r="O128" i="49"/>
  <c r="P128" i="49" s="1"/>
  <c r="R128" i="49" s="1"/>
  <c r="AL11" i="22"/>
  <c r="AV11" i="22"/>
  <c r="AT15" i="22"/>
  <c r="AW13" i="22"/>
  <c r="AL20" i="22"/>
  <c r="L46" i="60"/>
  <c r="AT13" i="22"/>
  <c r="C47" i="49"/>
  <c r="D47" i="49" s="1"/>
  <c r="F42" i="49" s="1"/>
  <c r="E68" i="60" s="1"/>
  <c r="M43" i="60" s="1"/>
  <c r="M48" i="60" s="1"/>
  <c r="AU15" i="22"/>
  <c r="AL13" i="22"/>
  <c r="AS13" i="22"/>
  <c r="AT12" i="22"/>
  <c r="AL19" i="22"/>
  <c r="AL16" i="22"/>
  <c r="O44" i="49"/>
  <c r="AQ14" i="22" s="1"/>
  <c r="AU13" i="22"/>
  <c r="AW19" i="22"/>
  <c r="O43" i="49"/>
  <c r="AR13" i="22" s="1"/>
  <c r="AL18" i="22"/>
  <c r="AL17" i="22"/>
  <c r="O48" i="49"/>
  <c r="AP18" i="22" s="1"/>
  <c r="AU12" i="22"/>
  <c r="F33" i="49"/>
  <c r="E64" i="60" s="1"/>
  <c r="F136" i="49"/>
  <c r="F137" i="49"/>
  <c r="AS12" i="22"/>
  <c r="AW12" i="22"/>
  <c r="AS17" i="22"/>
  <c r="F106" i="60"/>
  <c r="N104" i="60" s="1"/>
  <c r="C38" i="49"/>
  <c r="K47" i="60"/>
  <c r="L53" i="60"/>
  <c r="J8" i="22"/>
  <c r="O126" i="49"/>
  <c r="P126" i="49" s="1"/>
  <c r="R126" i="49" s="1"/>
  <c r="K51" i="60"/>
  <c r="O132" i="49"/>
  <c r="P132" i="49" s="1"/>
  <c r="R132" i="49" s="1"/>
  <c r="O42" i="49"/>
  <c r="AQ12" i="22" s="1"/>
  <c r="AU17" i="22"/>
  <c r="L52" i="60"/>
  <c r="L47" i="60"/>
  <c r="O127" i="49"/>
  <c r="P127" i="49" s="1"/>
  <c r="R127" i="49" s="1"/>
  <c r="L54" i="60"/>
  <c r="O133" i="49"/>
  <c r="P133" i="49" s="1"/>
  <c r="R133" i="49" s="1"/>
  <c r="K55" i="60"/>
  <c r="K46" i="60"/>
  <c r="L50" i="60"/>
  <c r="F93" i="49"/>
  <c r="F97" i="49"/>
  <c r="O131" i="49"/>
  <c r="P131" i="49" s="1"/>
  <c r="R131" i="49" s="1"/>
  <c r="AT17" i="22"/>
  <c r="K52" i="60"/>
  <c r="K54" i="60"/>
  <c r="K48" i="60"/>
  <c r="O47" i="49"/>
  <c r="AR17" i="22" s="1"/>
  <c r="AV17" i="22"/>
  <c r="L48" i="60"/>
  <c r="L51" i="60"/>
  <c r="O130" i="49"/>
  <c r="P130" i="49" s="1"/>
  <c r="R130" i="49" s="1"/>
  <c r="O129" i="49"/>
  <c r="P129" i="49" s="1"/>
  <c r="R129" i="49" s="1"/>
  <c r="N50" i="60"/>
  <c r="K49" i="60"/>
  <c r="K50" i="60"/>
  <c r="M51" i="60"/>
  <c r="E11" i="22"/>
  <c r="P46" i="60" s="1"/>
  <c r="E19" i="22"/>
  <c r="E20" i="22"/>
  <c r="E17" i="22"/>
  <c r="E16" i="22"/>
  <c r="E14" i="22"/>
  <c r="E12" i="22"/>
  <c r="E15" i="22"/>
  <c r="E13" i="22"/>
  <c r="E18" i="22"/>
  <c r="N21" i="6"/>
  <c r="N27" i="6"/>
  <c r="N22" i="6"/>
  <c r="N23" i="6"/>
  <c r="N24" i="6"/>
  <c r="N25" i="6"/>
  <c r="N26" i="6"/>
  <c r="N28" i="6"/>
  <c r="N29" i="6"/>
  <c r="N20" i="6"/>
  <c r="AO16" i="22"/>
  <c r="AN16" i="22"/>
  <c r="AR16" i="22"/>
  <c r="AQ16" i="22"/>
  <c r="AP16" i="22"/>
  <c r="AR15" i="22"/>
  <c r="AQ15" i="22"/>
  <c r="AO15" i="22"/>
  <c r="AN15" i="22"/>
  <c r="AP15" i="22"/>
  <c r="AR11" i="22"/>
  <c r="AQ11" i="22"/>
  <c r="AO11" i="22"/>
  <c r="AP11" i="22"/>
  <c r="AN11" i="22"/>
  <c r="AP14" i="22"/>
  <c r="AN14" i="22"/>
  <c r="AP17" i="22"/>
  <c r="AO19" i="22"/>
  <c r="AN19" i="22"/>
  <c r="AR19" i="22"/>
  <c r="AQ19" i="22"/>
  <c r="AP19" i="22"/>
  <c r="M53" i="60"/>
  <c r="M49" i="60"/>
  <c r="S64" i="49"/>
  <c r="AI16" i="22" s="1"/>
  <c r="P64" i="49"/>
  <c r="S67" i="49"/>
  <c r="AI19" i="22" s="1"/>
  <c r="P67" i="49"/>
  <c r="S59" i="49"/>
  <c r="AI11" i="22" s="1"/>
  <c r="T59" i="49"/>
  <c r="AK11" i="22" s="1"/>
  <c r="R59" i="49"/>
  <c r="AM11" i="22" s="1"/>
  <c r="P59" i="49"/>
  <c r="R60" i="49"/>
  <c r="AM12" i="22" s="1"/>
  <c r="S63" i="49"/>
  <c r="AI15" i="22" s="1"/>
  <c r="P63" i="49"/>
  <c r="P62" i="49"/>
  <c r="M46" i="60" l="1"/>
  <c r="S61" i="49"/>
  <c r="AI13" i="22" s="1"/>
  <c r="H134" i="49"/>
  <c r="K8" i="22" s="1"/>
  <c r="K15" i="22" s="1"/>
  <c r="M52" i="60"/>
  <c r="M50" i="60"/>
  <c r="M55" i="60"/>
  <c r="M47" i="60"/>
  <c r="AO17" i="22"/>
  <c r="AN20" i="22"/>
  <c r="AN13" i="22"/>
  <c r="AO13" i="22"/>
  <c r="AP20" i="22"/>
  <c r="AQ13" i="22"/>
  <c r="S68" i="49"/>
  <c r="AI20" i="22" s="1"/>
  <c r="AR20" i="22"/>
  <c r="AQ20" i="22"/>
  <c r="AN12" i="22"/>
  <c r="AO20" i="22"/>
  <c r="P61" i="49"/>
  <c r="AP13" i="22"/>
  <c r="M54" i="60"/>
  <c r="AQ18" i="22"/>
  <c r="D8" i="22"/>
  <c r="D12" i="22" s="1"/>
  <c r="AA46" i="60"/>
  <c r="E46" i="62" s="1" a="1"/>
  <c r="E46" i="62" s="1"/>
  <c r="O104" i="60"/>
  <c r="Q46" i="60" s="1"/>
  <c r="K11" i="22"/>
  <c r="K14" i="22"/>
  <c r="K12" i="22"/>
  <c r="AO18" i="22"/>
  <c r="P43" i="60"/>
  <c r="AR18" i="22"/>
  <c r="AR14" i="22"/>
  <c r="AP12" i="22"/>
  <c r="D16" i="22"/>
  <c r="AO14" i="22"/>
  <c r="AR12" i="22"/>
  <c r="S66" i="49"/>
  <c r="AI18" i="22" s="1"/>
  <c r="S62" i="49"/>
  <c r="AI14" i="22" s="1"/>
  <c r="AO12" i="22"/>
  <c r="P66" i="49"/>
  <c r="AN18" i="22"/>
  <c r="N113" i="60"/>
  <c r="N105" i="60"/>
  <c r="K20" i="22"/>
  <c r="S60" i="49"/>
  <c r="AI12" i="22" s="1"/>
  <c r="S65" i="49"/>
  <c r="AI17" i="22" s="1"/>
  <c r="AQ17" i="22"/>
  <c r="K19" i="22"/>
  <c r="T60" i="49"/>
  <c r="P65" i="49"/>
  <c r="P60" i="49"/>
  <c r="K13" i="22"/>
  <c r="J11" i="22"/>
  <c r="J20" i="22"/>
  <c r="J17" i="22"/>
  <c r="J14" i="22"/>
  <c r="J15" i="22"/>
  <c r="J18" i="22"/>
  <c r="J19" i="22"/>
  <c r="J16" i="22"/>
  <c r="J13" i="22"/>
  <c r="J12" i="22"/>
  <c r="AN17" i="22"/>
  <c r="P98" i="49"/>
  <c r="Q98" i="49" s="1"/>
  <c r="R98" i="49" s="1"/>
  <c r="I14" i="22" s="1"/>
  <c r="P100" i="49"/>
  <c r="Q100" i="49" s="1"/>
  <c r="R100" i="49" s="1"/>
  <c r="I20" i="22" s="1"/>
  <c r="P92" i="49"/>
  <c r="Q92" i="49" s="1"/>
  <c r="R92" i="49" s="1"/>
  <c r="I16" i="22" s="1"/>
  <c r="P97" i="49"/>
  <c r="Q97" i="49" s="1"/>
  <c r="R97" i="49" s="1"/>
  <c r="I15" i="22" s="1"/>
  <c r="P96" i="49"/>
  <c r="Q96" i="49" s="1"/>
  <c r="R96" i="49" s="1"/>
  <c r="I19" i="22" s="1"/>
  <c r="P95" i="49"/>
  <c r="Q95" i="49" s="1"/>
  <c r="R95" i="49" s="1"/>
  <c r="I11" i="22" s="1"/>
  <c r="P94" i="49"/>
  <c r="Q94" i="49" s="1"/>
  <c r="R94" i="49" s="1"/>
  <c r="I18" i="22" s="1"/>
  <c r="P93" i="49"/>
  <c r="Q93" i="49" s="1"/>
  <c r="R93" i="49" s="1"/>
  <c r="I12" i="22" s="1"/>
  <c r="P99" i="49"/>
  <c r="Q99" i="49" s="1"/>
  <c r="R99" i="49" s="1"/>
  <c r="I17" i="22" s="1"/>
  <c r="P91" i="49"/>
  <c r="Q91" i="49" s="1"/>
  <c r="R91" i="49" s="1"/>
  <c r="I13" i="22" s="1"/>
  <c r="S49" i="62" a="1"/>
  <c r="S49" i="62" s="1"/>
  <c r="AL49" i="62" a="1"/>
  <c r="AL49" i="62" s="1"/>
  <c r="AH37" i="62" a="1"/>
  <c r="AH37" i="62" s="1"/>
  <c r="AJ46" i="62" a="1"/>
  <c r="AJ46" i="62" s="1"/>
  <c r="G46" i="62" a="1"/>
  <c r="G46" i="62" s="1"/>
  <c r="AL48" i="62" a="1"/>
  <c r="AL48" i="62" s="1"/>
  <c r="G26" i="62" a="1"/>
  <c r="G26" i="62" s="1"/>
  <c r="AK48" i="62" a="1"/>
  <c r="AK48" i="62" s="1"/>
  <c r="H46" i="62" a="1"/>
  <c r="H46" i="62" s="1"/>
  <c r="AK37" i="62" a="1"/>
  <c r="AK37" i="62" s="1"/>
  <c r="D49" i="62" a="1"/>
  <c r="D49" i="62" s="1"/>
  <c r="S28" i="62" a="1"/>
  <c r="S28" i="62" s="1"/>
  <c r="E29" i="62" a="1"/>
  <c r="E29" i="62" s="1"/>
  <c r="H36" i="62" a="1"/>
  <c r="H36" i="62" s="1"/>
  <c r="AH38" i="62" a="1"/>
  <c r="AH38" i="62" s="1"/>
  <c r="W48" i="62" a="1"/>
  <c r="W48" i="62" s="1"/>
  <c r="U37" i="62" a="1"/>
  <c r="U37" i="62" s="1"/>
  <c r="AJ29" i="62" a="1"/>
  <c r="AJ29" i="62" s="1"/>
  <c r="AK46" i="62" a="1"/>
  <c r="AK46" i="62" s="1"/>
  <c r="G40" i="62" a="1"/>
  <c r="G40" i="62" s="1"/>
  <c r="S29" i="62" a="1"/>
  <c r="S29" i="62" s="1"/>
  <c r="F46" i="62" a="1"/>
  <c r="F46" i="62" s="1"/>
  <c r="U39" i="62" a="1"/>
  <c r="U39" i="62" s="1"/>
  <c r="AL26" i="62" a="1"/>
  <c r="AL26" i="62" s="1"/>
  <c r="D48" i="62" a="1"/>
  <c r="D48" i="62" s="1"/>
  <c r="AJ49" i="62" a="1"/>
  <c r="AJ49" i="62" s="1"/>
  <c r="AH28" i="62" a="1"/>
  <c r="AH28" i="62" s="1"/>
  <c r="E28" i="62" a="1"/>
  <c r="E28" i="62" s="1"/>
  <c r="AJ37" i="62" a="1"/>
  <c r="AJ37" i="62" s="1"/>
  <c r="E40" i="62" a="1"/>
  <c r="E40" i="62" s="1"/>
  <c r="G37" i="62" a="1"/>
  <c r="G37" i="62" s="1"/>
  <c r="AL29" i="62" a="1"/>
  <c r="AL29" i="62" s="1"/>
  <c r="W37" i="62" a="1"/>
  <c r="W37" i="62" s="1"/>
  <c r="V36" i="62" a="1"/>
  <c r="V36" i="62" s="1"/>
  <c r="AI36" i="62" a="1"/>
  <c r="AI36" i="62" s="1"/>
  <c r="T29" i="62" a="1"/>
  <c r="T29" i="62" s="1"/>
  <c r="E48" i="62" a="1"/>
  <c r="E48" i="62" s="1"/>
  <c r="H26" i="62" a="1"/>
  <c r="H26" i="62" s="1"/>
  <c r="G38" i="62" a="1"/>
  <c r="G38" i="62" s="1"/>
  <c r="AJ26" i="62" a="1"/>
  <c r="AJ26" i="62" s="1"/>
  <c r="AK26" i="62" a="1"/>
  <c r="AK26" i="62" s="1"/>
  <c r="AI40" i="62" a="1"/>
  <c r="AI40" i="62" s="1"/>
  <c r="AH13" i="22"/>
  <c r="AJ13" i="22"/>
  <c r="AH16" i="22"/>
  <c r="AJ16" i="22"/>
  <c r="AH15" i="22"/>
  <c r="AJ15" i="22"/>
  <c r="AJ11" i="22"/>
  <c r="AH11" i="22"/>
  <c r="AJ14" i="22"/>
  <c r="AH14" i="22"/>
  <c r="AJ17" i="22"/>
  <c r="AH17" i="22"/>
  <c r="T68" i="49"/>
  <c r="AK20" i="22" s="1"/>
  <c r="AK12" i="22"/>
  <c r="H49" i="62" a="1"/>
  <c r="H49" i="62" s="1"/>
  <c r="AL28" i="62" a="1"/>
  <c r="AL28" i="62" s="1"/>
  <c r="AJ12" i="22"/>
  <c r="AH12" i="22"/>
  <c r="AK28" i="62" a="1"/>
  <c r="AK28" i="62" s="1"/>
  <c r="AL36" i="62" a="1"/>
  <c r="AL36" i="62" s="1"/>
  <c r="H28" i="62" a="1"/>
  <c r="H28" i="62" s="1"/>
  <c r="F36" i="62" a="1"/>
  <c r="F36" i="62" s="1"/>
  <c r="S37" i="62" a="1"/>
  <c r="S37" i="62" s="1"/>
  <c r="W49" i="62" a="1"/>
  <c r="W49" i="62" s="1"/>
  <c r="U26" i="62" a="1"/>
  <c r="U26" i="62" s="1"/>
  <c r="G29" i="62" a="1"/>
  <c r="G29" i="62" s="1"/>
  <c r="E26" i="62" a="1"/>
  <c r="E26" i="62" s="1"/>
  <c r="S48" i="62" a="1"/>
  <c r="S48" i="62" s="1"/>
  <c r="AJ20" i="22"/>
  <c r="AH20" i="22"/>
  <c r="S39" i="62" a="1"/>
  <c r="S39" i="62" s="1"/>
  <c r="T46" i="62" a="1"/>
  <c r="T46" i="62" s="1"/>
  <c r="S26" i="62" a="1"/>
  <c r="S26" i="62" s="1"/>
  <c r="H29" i="62" a="1"/>
  <c r="H29" i="62" s="1"/>
  <c r="W38" i="62" a="1"/>
  <c r="W38" i="62" s="1"/>
  <c r="AH39" i="62" a="1"/>
  <c r="AH39" i="62" s="1"/>
  <c r="E49" i="62" a="1"/>
  <c r="E49" i="62" s="1"/>
  <c r="AI29" i="62" a="1"/>
  <c r="AI29" i="62" s="1"/>
  <c r="AK29" i="62" a="1"/>
  <c r="AK29" i="62" s="1"/>
  <c r="E38" i="62" a="1"/>
  <c r="E38" i="62" s="1"/>
  <c r="S40" i="62" a="1"/>
  <c r="S40" i="62" s="1"/>
  <c r="V26" i="62" a="1"/>
  <c r="V26" i="62" s="1"/>
  <c r="T28" i="62" a="1"/>
  <c r="T28" i="62" s="1"/>
  <c r="T36" i="62" a="1"/>
  <c r="T36" i="62" s="1"/>
  <c r="AJ18" i="22"/>
  <c r="AH18" i="22"/>
  <c r="AH19" i="22"/>
  <c r="AJ19" i="22"/>
  <c r="F28" i="62" a="1"/>
  <c r="F28" i="62" s="1"/>
  <c r="F29" i="62" a="1"/>
  <c r="F29" i="62" s="1"/>
  <c r="E36" i="62" a="1"/>
  <c r="E36" i="62" s="1"/>
  <c r="F37" i="62" a="1"/>
  <c r="F37" i="62" s="1"/>
  <c r="S38" i="62" a="1"/>
  <c r="S38" i="62" s="1"/>
  <c r="AH49" i="62" a="1"/>
  <c r="AH49" i="62" s="1"/>
  <c r="D28" i="62" a="1"/>
  <c r="D28" i="62" s="1"/>
  <c r="V28" i="62" a="1"/>
  <c r="V28" i="62" s="1"/>
  <c r="W29" i="62" a="1"/>
  <c r="W29" i="62" s="1"/>
  <c r="G36" i="62" a="1"/>
  <c r="G36" i="62" s="1"/>
  <c r="V37" i="62" a="1"/>
  <c r="V37" i="62" s="1"/>
  <c r="R68" i="49"/>
  <c r="AM20" i="22" s="1"/>
  <c r="J19" i="11"/>
  <c r="W39" i="62" l="1" a="1"/>
  <c r="W39" i="62" s="1"/>
  <c r="AJ40" i="62" a="1"/>
  <c r="AJ40" i="62" s="1"/>
  <c r="K18" i="22"/>
  <c r="T49" i="62" a="1"/>
  <c r="T49" i="62" s="1"/>
  <c r="H48" i="62" a="1"/>
  <c r="H48" i="62" s="1"/>
  <c r="T40" i="62" a="1"/>
  <c r="T40" i="62" s="1"/>
  <c r="H38" i="62" a="1"/>
  <c r="H38" i="62" s="1"/>
  <c r="AJ28" i="62" a="1"/>
  <c r="AJ28" i="62" s="1"/>
  <c r="E39" i="62" a="1"/>
  <c r="E39" i="62" s="1"/>
  <c r="AH48" i="62" a="1"/>
  <c r="AH48" i="62" s="1"/>
  <c r="K16" i="22"/>
  <c r="H37" i="62" a="1"/>
  <c r="H37" i="62" s="1"/>
  <c r="AJ36" i="62" a="1"/>
  <c r="AJ36" i="62" s="1"/>
  <c r="W36" i="62" a="1"/>
  <c r="W36" i="62" s="1"/>
  <c r="D38" i="62" a="1"/>
  <c r="D38" i="62" s="1"/>
  <c r="AI49" i="62" a="1"/>
  <c r="AI49" i="62" s="1"/>
  <c r="V29" i="62" a="1"/>
  <c r="V29" i="62" s="1"/>
  <c r="U29" i="62" a="1"/>
  <c r="U29" i="62" s="1"/>
  <c r="V46" i="62" a="1"/>
  <c r="V46" i="62" s="1"/>
  <c r="T26" i="62" a="1"/>
  <c r="T26" i="62" s="1"/>
  <c r="D29" i="62" a="1"/>
  <c r="D29" i="62" s="1"/>
  <c r="D40" i="62" a="1"/>
  <c r="D40" i="62" s="1"/>
  <c r="F39" i="62" a="1"/>
  <c r="F39" i="62" s="1"/>
  <c r="F40" i="62" a="1"/>
  <c r="F40" i="62" s="1"/>
  <c r="AL37" i="62" a="1"/>
  <c r="AL37" i="62" s="1"/>
  <c r="AI28" i="62" a="1"/>
  <c r="AI28" i="62" s="1"/>
  <c r="W28" i="62" a="1"/>
  <c r="W28" i="62" s="1"/>
  <c r="AI39" i="62" a="1"/>
  <c r="AI39" i="62" s="1"/>
  <c r="V38" i="62" a="1"/>
  <c r="V38" i="62" s="1"/>
  <c r="U36" i="62" a="1"/>
  <c r="U36" i="62" s="1"/>
  <c r="AL39" i="62" a="1"/>
  <c r="AL39" i="62" s="1"/>
  <c r="T39" i="62" a="1"/>
  <c r="T39" i="62" s="1"/>
  <c r="AI26" i="62" a="1"/>
  <c r="AI26" i="62" s="1"/>
  <c r="G28" i="62" a="1"/>
  <c r="G28" i="62" s="1"/>
  <c r="F49" i="62" a="1"/>
  <c r="F49" i="62" s="1"/>
  <c r="AH26" i="62" a="1"/>
  <c r="AH26" i="62" s="1"/>
  <c r="AL38" i="62" a="1"/>
  <c r="AL38" i="62" s="1"/>
  <c r="W26" i="62" a="1"/>
  <c r="W26" i="62" s="1"/>
  <c r="U49" i="62" a="1"/>
  <c r="U49" i="62" s="1"/>
  <c r="AI46" i="62" a="1"/>
  <c r="AI46" i="62" s="1"/>
  <c r="T48" i="62" a="1"/>
  <c r="T48" i="62" s="1"/>
  <c r="AL46" i="62" a="1"/>
  <c r="AL46" i="62" s="1"/>
  <c r="AK38" i="62" a="1"/>
  <c r="AK38" i="62" s="1"/>
  <c r="V40" i="62" a="1"/>
  <c r="V40" i="62" s="1"/>
  <c r="U40" i="62" a="1"/>
  <c r="U40" i="62" s="1"/>
  <c r="AI48" i="62" a="1"/>
  <c r="AI48" i="62" s="1"/>
  <c r="U28" i="62" a="1"/>
  <c r="U28" i="62" s="1"/>
  <c r="AH40" i="62" a="1"/>
  <c r="AH40" i="62" s="1"/>
  <c r="D39" i="62" a="1"/>
  <c r="D39" i="62" s="1"/>
  <c r="T38" i="62" a="1"/>
  <c r="T38" i="62" s="1"/>
  <c r="U46" i="62" a="1"/>
  <c r="U46" i="62" s="1"/>
  <c r="D26" i="62" a="1"/>
  <c r="D26" i="62" s="1"/>
  <c r="AI38" i="62" a="1"/>
  <c r="AI38" i="62" s="1"/>
  <c r="G48" i="62" a="1"/>
  <c r="G48" i="62" s="1"/>
  <c r="F26" i="62" a="1"/>
  <c r="F26" i="62" s="1"/>
  <c r="D37" i="62" a="1"/>
  <c r="D37" i="62" s="1"/>
  <c r="K17" i="22"/>
  <c r="AK36" i="62" a="1"/>
  <c r="AK36" i="62" s="1"/>
  <c r="AJ39" i="62" a="1"/>
  <c r="AJ39" i="62" s="1"/>
  <c r="H39" i="62" a="1"/>
  <c r="H39" i="62" s="1"/>
  <c r="D15" i="22"/>
  <c r="AK40" i="62" a="1"/>
  <c r="AK40" i="62" s="1"/>
  <c r="D19" i="22"/>
  <c r="D13" i="22"/>
  <c r="D20" i="22"/>
  <c r="D17" i="22"/>
  <c r="D11" i="22"/>
  <c r="D18" i="22"/>
  <c r="D14" i="22"/>
  <c r="V48" i="62" a="1"/>
  <c r="V48" i="62" s="1"/>
  <c r="AH29" i="62" a="1"/>
  <c r="AH29" i="62" s="1"/>
  <c r="W46" i="62" a="1"/>
  <c r="W46" i="62" s="1"/>
  <c r="AA47" i="60"/>
  <c r="O105" i="60"/>
  <c r="Q47" i="60" s="1"/>
  <c r="AA55" i="60"/>
  <c r="O113" i="60"/>
  <c r="Q55" i="60" s="1"/>
  <c r="F16" i="58" a="1"/>
  <c r="F16" i="58" s="1"/>
  <c r="M13" i="58" a="1"/>
  <c r="M13" i="58" s="1"/>
  <c r="T16" i="58" a="1"/>
  <c r="T16" i="58" s="1"/>
  <c r="N13" i="58" a="1"/>
  <c r="N13" i="58" s="1"/>
  <c r="J16" i="58" a="1"/>
  <c r="J16" i="58" s="1"/>
  <c r="E13" i="58" a="1"/>
  <c r="E13" i="58" s="1"/>
  <c r="O13" i="58" a="1"/>
  <c r="O13" i="58" s="1"/>
  <c r="Y16" i="58" a="1"/>
  <c r="Y16" i="58" s="1"/>
  <c r="E18" i="58" a="1"/>
  <c r="E18" i="58" s="1"/>
  <c r="V16" i="58" a="1"/>
  <c r="V16" i="58" s="1"/>
  <c r="J18" i="58" a="1"/>
  <c r="J18" i="58" s="1"/>
  <c r="G16" i="58" a="1"/>
  <c r="G16" i="58" s="1"/>
  <c r="H17" i="58" a="1"/>
  <c r="H17" i="58" s="1"/>
  <c r="X19" i="58" a="1"/>
  <c r="X19" i="58" s="1"/>
  <c r="W19" i="58" a="1"/>
  <c r="W19" i="58" s="1"/>
  <c r="AB14" i="58" a="1"/>
  <c r="AB14" i="58" s="1"/>
  <c r="AK10" i="58" a="1"/>
  <c r="AK10" i="58" s="1"/>
  <c r="AA19" i="58" a="1"/>
  <c r="AA19" i="58" s="1"/>
  <c r="I20" i="58" a="1"/>
  <c r="I20" i="58" s="1"/>
  <c r="X16" i="58" a="1"/>
  <c r="X16" i="58" s="1"/>
  <c r="AJ13" i="58" a="1"/>
  <c r="AJ13" i="58" s="1"/>
  <c r="L18" i="58" a="1"/>
  <c r="L18" i="58" s="1"/>
  <c r="W10" i="58" a="1"/>
  <c r="W10" i="58" s="1"/>
  <c r="AM16" i="58" a="1"/>
  <c r="AM16" i="58" s="1"/>
  <c r="X12" i="58" a="1"/>
  <c r="X12" i="58" s="1"/>
  <c r="O14" i="58" a="1"/>
  <c r="O14" i="58" s="1"/>
  <c r="M11" i="58" a="1"/>
  <c r="M11" i="58" s="1"/>
  <c r="AA13" i="58" a="1"/>
  <c r="AA13" i="58" s="1"/>
  <c r="X13" i="58" a="1"/>
  <c r="X13" i="58" s="1"/>
  <c r="L11" i="58" a="1"/>
  <c r="L11" i="58" s="1"/>
  <c r="AI20" i="58" a="1"/>
  <c r="AI20" i="58" s="1"/>
  <c r="W20" i="58" a="1"/>
  <c r="W20" i="58" s="1"/>
  <c r="X20" i="58" a="1"/>
  <c r="X20" i="58" s="1"/>
  <c r="AN17" i="58" a="1"/>
  <c r="AN17" i="58" s="1"/>
  <c r="J10" i="58" a="1"/>
  <c r="J10" i="58" s="1"/>
  <c r="F10" i="58" a="1"/>
  <c r="F10" i="58" s="1"/>
  <c r="O15" i="58" a="1"/>
  <c r="O15" i="58" s="1"/>
  <c r="AP11" i="58" a="1"/>
  <c r="AP11" i="58" s="1"/>
  <c r="Z20" i="58" a="1"/>
  <c r="Z20" i="58" s="1"/>
  <c r="AI19" i="58" a="1"/>
  <c r="AI19" i="58" s="1"/>
  <c r="U10" i="58" a="1"/>
  <c r="U10" i="58" s="1"/>
  <c r="L10" i="58" a="1"/>
  <c r="L10" i="58" s="1"/>
  <c r="K17" i="58" a="1"/>
  <c r="K17" i="58" s="1"/>
  <c r="Z11" i="58" a="1"/>
  <c r="Z11" i="58" s="1"/>
  <c r="AB12" i="58" a="1"/>
  <c r="AB12" i="58" s="1"/>
  <c r="J13" i="58" a="1"/>
  <c r="J13" i="58" s="1"/>
  <c r="AD16" i="58" a="1"/>
  <c r="AD16" i="58" s="1"/>
  <c r="Z14" i="58" a="1"/>
  <c r="Z14" i="58" s="1"/>
  <c r="AS17" i="58" a="1"/>
  <c r="AS17" i="58" s="1"/>
  <c r="AP13" i="58" a="1"/>
  <c r="AP13" i="58" s="1"/>
  <c r="AJ20" i="58" a="1"/>
  <c r="AJ20" i="58" s="1"/>
  <c r="AQ13" i="58" a="1"/>
  <c r="AQ13" i="58" s="1"/>
  <c r="O12" i="58" a="1"/>
  <c r="O12" i="58" s="1"/>
  <c r="E15" i="58" a="1"/>
  <c r="E15" i="58" s="1"/>
  <c r="V19" i="58" a="1"/>
  <c r="V19" i="58" s="1"/>
  <c r="AR14" i="58" a="1"/>
  <c r="AR14" i="58" s="1"/>
  <c r="W16" i="58" a="1"/>
  <c r="W16" i="58" s="1"/>
  <c r="AD11" i="58" a="1"/>
  <c r="AD11" i="58" s="1"/>
  <c r="AO11" i="58" a="1"/>
  <c r="AO11" i="58" s="1"/>
  <c r="H14" i="58" a="1"/>
  <c r="H14" i="58" s="1"/>
  <c r="V13" i="58" a="1"/>
  <c r="V13" i="58" s="1"/>
  <c r="AR10" i="58" a="1"/>
  <c r="AR10" i="58" s="1"/>
  <c r="X17" i="58" a="1"/>
  <c r="X17" i="58" s="1"/>
  <c r="U13" i="58" a="1"/>
  <c r="U13" i="58" s="1"/>
  <c r="AL17" i="58" a="1"/>
  <c r="AL17" i="58" s="1"/>
  <c r="AS16" i="58" a="1"/>
  <c r="AS16" i="58" s="1"/>
  <c r="AJ12" i="58" a="1"/>
  <c r="AJ12" i="58" s="1"/>
  <c r="E17" i="58" a="1"/>
  <c r="E17" i="58" s="1"/>
  <c r="AB10" i="58" a="1"/>
  <c r="AB10" i="58" s="1"/>
  <c r="AS15" i="58" a="1"/>
  <c r="AS15" i="58" s="1"/>
  <c r="AO20" i="58" a="1"/>
  <c r="AO20" i="58" s="1"/>
  <c r="AN16" i="58" a="1"/>
  <c r="AN16" i="58" s="1"/>
  <c r="AA12" i="58" a="1"/>
  <c r="AA12" i="58" s="1"/>
  <c r="H12" i="58" a="1"/>
  <c r="H12" i="58" s="1"/>
  <c r="AR11" i="58" a="1"/>
  <c r="AR11" i="58" s="1"/>
  <c r="T19" i="58" a="1"/>
  <c r="T19" i="58" s="1"/>
  <c r="J20" i="58" a="1"/>
  <c r="J20" i="58" s="1"/>
  <c r="AM15" i="58" a="1"/>
  <c r="AM15" i="58" s="1"/>
  <c r="Z15" i="58" a="1"/>
  <c r="Z15" i="58" s="1"/>
  <c r="F19" i="58" a="1"/>
  <c r="F19" i="58" s="1"/>
  <c r="AK13" i="58" a="1"/>
  <c r="AK13" i="58" s="1"/>
  <c r="AJ19" i="58" a="1"/>
  <c r="AJ19" i="58" s="1"/>
  <c r="I18" i="58" a="1"/>
  <c r="I18" i="58" s="1"/>
  <c r="E14" i="58" a="1"/>
  <c r="E14" i="58" s="1"/>
  <c r="AO17" i="58" a="1"/>
  <c r="AO17" i="58" s="1"/>
  <c r="AN19" i="58" a="1"/>
  <c r="AN19" i="58" s="1"/>
  <c r="AL20" i="58" a="1"/>
  <c r="AL20" i="58" s="1"/>
  <c r="V14" i="58" a="1"/>
  <c r="V14" i="58" s="1"/>
  <c r="T15" i="58" a="1"/>
  <c r="T15" i="58" s="1"/>
  <c r="AK15" i="58" a="1"/>
  <c r="AK15" i="58" s="1"/>
  <c r="K18" i="58" a="1"/>
  <c r="K18" i="58" s="1"/>
  <c r="W14" i="58" a="1"/>
  <c r="W14" i="58" s="1"/>
  <c r="AM11" i="58" a="1"/>
  <c r="AM11" i="58" s="1"/>
  <c r="N12" i="58" a="1"/>
  <c r="N12" i="58" s="1"/>
  <c r="AA18" i="58" a="1"/>
  <c r="AA18" i="58" s="1"/>
  <c r="AD15" i="58" a="1"/>
  <c r="AD15" i="58" s="1"/>
  <c r="M12" i="58" a="1"/>
  <c r="M12" i="58" s="1"/>
  <c r="Z10" i="58" a="1"/>
  <c r="Z10" i="58" s="1"/>
  <c r="AI12" i="58" a="1"/>
  <c r="AI12" i="58" s="1"/>
  <c r="E12" i="58" a="1"/>
  <c r="E12" i="58" s="1"/>
  <c r="AL14" i="58" a="1"/>
  <c r="AL14" i="58" s="1"/>
  <c r="Z18" i="58" a="1"/>
  <c r="Z18" i="58" s="1"/>
  <c r="AB17" i="58" a="1"/>
  <c r="AB17" i="58" s="1"/>
  <c r="AN10" i="58" a="1"/>
  <c r="AN10" i="58" s="1"/>
  <c r="Y17" i="58" a="1"/>
  <c r="Y17" i="58" s="1"/>
  <c r="AK17" i="58" a="1"/>
  <c r="AK17" i="58" s="1"/>
  <c r="N14" i="58" a="1"/>
  <c r="N14" i="58" s="1"/>
  <c r="AP20" i="58" a="1"/>
  <c r="AP20" i="58" s="1"/>
  <c r="AI11" i="58" a="1"/>
  <c r="AI11" i="58" s="1"/>
  <c r="K15" i="58" a="1"/>
  <c r="K15" i="58" s="1"/>
  <c r="AP16" i="58" a="1"/>
  <c r="AP16" i="58" s="1"/>
  <c r="AL15" i="58" a="1"/>
  <c r="AL15" i="58" s="1"/>
  <c r="H20" i="58" a="1"/>
  <c r="H20" i="58" s="1"/>
  <c r="L15" i="58" a="1"/>
  <c r="L15" i="58" s="1"/>
  <c r="L20" i="58" a="1"/>
  <c r="L20" i="58" s="1"/>
  <c r="AB11" i="58" a="1"/>
  <c r="AB11" i="58" s="1"/>
  <c r="Z12" i="58" a="1"/>
  <c r="Z12" i="58" s="1"/>
  <c r="AQ10" i="58" a="1"/>
  <c r="AQ10" i="58" s="1"/>
  <c r="AK20" i="58" a="1"/>
  <c r="AK20" i="58" s="1"/>
  <c r="G18" i="58" a="1"/>
  <c r="G18" i="58" s="1"/>
  <c r="Y12" i="58" a="1"/>
  <c r="Y12" i="58" s="1"/>
  <c r="AI17" i="58" a="1"/>
  <c r="AI17" i="58" s="1"/>
  <c r="T20" i="58" a="1"/>
  <c r="T20" i="58" s="1"/>
  <c r="AK19" i="58" a="1"/>
  <c r="AK19" i="58" s="1"/>
  <c r="G10" i="58" a="1"/>
  <c r="G10" i="58" s="1"/>
  <c r="K19" i="58" a="1"/>
  <c r="K19" i="58" s="1"/>
  <c r="N10" i="58" a="1"/>
  <c r="N10" i="58" s="1"/>
  <c r="M14" i="58" a="1"/>
  <c r="M14" i="58" s="1"/>
  <c r="H18" i="58" a="1"/>
  <c r="H18" i="58" s="1"/>
  <c r="U16" i="58" a="1"/>
  <c r="U16" i="58" s="1"/>
  <c r="AB15" i="58" a="1"/>
  <c r="AB15" i="58" s="1"/>
  <c r="AL19" i="58" a="1"/>
  <c r="AL19" i="58" s="1"/>
  <c r="T14" i="58" a="1"/>
  <c r="T14" i="58" s="1"/>
  <c r="M19" i="58" a="1"/>
  <c r="M19" i="58" s="1"/>
  <c r="AJ16" i="58" a="1"/>
  <c r="AJ16" i="58" s="1"/>
  <c r="W11" i="58" a="1"/>
  <c r="W11" i="58" s="1"/>
  <c r="Y19" i="58" a="1"/>
  <c r="Y19" i="58" s="1"/>
  <c r="F17" i="58" a="1"/>
  <c r="F17" i="58" s="1"/>
  <c r="X10" i="58" a="1"/>
  <c r="X10" i="58" s="1"/>
  <c r="AN11" i="58" a="1"/>
  <c r="AN11" i="58" s="1"/>
  <c r="AP14" i="58" a="1"/>
  <c r="AP14" i="58" s="1"/>
  <c r="AM19" i="58" a="1"/>
  <c r="AM19" i="58" s="1"/>
  <c r="AA20" i="58" a="1"/>
  <c r="AA20" i="58" s="1"/>
  <c r="T18" i="58" a="1"/>
  <c r="T18" i="58" s="1"/>
  <c r="AP18" i="58" a="1"/>
  <c r="AP18" i="58" s="1"/>
  <c r="U20" i="58" a="1"/>
  <c r="U20" i="58" s="1"/>
  <c r="F18" i="58" a="1"/>
  <c r="F18" i="58" s="1"/>
  <c r="V11" i="58" a="1"/>
  <c r="V11" i="58" s="1"/>
  <c r="F14" i="58" a="1"/>
  <c r="F14" i="58" s="1"/>
  <c r="E11" i="58" a="1"/>
  <c r="E11" i="58" s="1"/>
  <c r="H19" i="58" a="1"/>
  <c r="H19" i="58" s="1"/>
  <c r="M16" i="58" a="1"/>
  <c r="M16" i="58" s="1"/>
  <c r="I17" i="58" a="1"/>
  <c r="I17" i="58" s="1"/>
  <c r="O10" i="58" a="1"/>
  <c r="O10" i="58" s="1"/>
  <c r="G11" i="58" a="1"/>
  <c r="G11" i="58" s="1"/>
  <c r="AK11" i="58" a="1"/>
  <c r="AK11" i="58" s="1"/>
  <c r="O19" i="58" a="1"/>
  <c r="O19" i="58" s="1"/>
  <c r="U15" i="58" a="1"/>
  <c r="U15" i="58" s="1"/>
  <c r="AO10" i="58" a="1"/>
  <c r="AO10" i="58" s="1"/>
  <c r="AS13" i="58" a="1"/>
  <c r="AS13" i="58" s="1"/>
  <c r="AJ17" i="58" a="1"/>
  <c r="AJ17" i="58" s="1"/>
  <c r="AO14" i="58" a="1"/>
  <c r="AO14" i="58" s="1"/>
  <c r="AQ17" i="58" a="1"/>
  <c r="AQ17" i="58" s="1"/>
  <c r="AC20" i="58" a="1"/>
  <c r="AC20" i="58" s="1"/>
  <c r="AL11" i="58" a="1"/>
  <c r="AL11" i="58" s="1"/>
  <c r="AA14" i="58" a="1"/>
  <c r="AA14" i="58" s="1"/>
  <c r="AN20" i="58" a="1"/>
  <c r="AN20" i="58" s="1"/>
  <c r="I15" i="58" a="1"/>
  <c r="I15" i="58" s="1"/>
  <c r="AM20" i="58" a="1"/>
  <c r="AM20" i="58" s="1"/>
  <c r="AB16" i="58" a="1"/>
  <c r="AB16" i="58" s="1"/>
  <c r="M10" i="58" a="1"/>
  <c r="M10" i="58" s="1"/>
  <c r="AQ15" i="58" a="1"/>
  <c r="AQ15" i="58" s="1"/>
  <c r="AS19" i="58" a="1"/>
  <c r="AS19" i="58" s="1"/>
  <c r="AL12" i="58" a="1"/>
  <c r="AL12" i="58" s="1"/>
  <c r="AD19" i="58" a="1"/>
  <c r="AD19" i="58" s="1"/>
  <c r="AI18" i="58" a="1"/>
  <c r="AI18" i="58" s="1"/>
  <c r="L19" i="58" a="1"/>
  <c r="L19" i="58" s="1"/>
  <c r="X15" i="58" a="1"/>
  <c r="X15" i="58" s="1"/>
  <c r="AL16" i="58" a="1"/>
  <c r="AL16" i="58" s="1"/>
  <c r="AC15" i="58" a="1"/>
  <c r="AC15" i="58" s="1"/>
  <c r="AB19" i="58" a="1"/>
  <c r="AB19" i="58" s="1"/>
  <c r="AO15" i="58" a="1"/>
  <c r="AO15" i="58" s="1"/>
  <c r="T17" i="58" a="1"/>
  <c r="T17" i="58" s="1"/>
  <c r="Y13" i="58" a="1"/>
  <c r="Y13" i="58" s="1"/>
  <c r="M20" i="58" a="1"/>
  <c r="M20" i="58" s="1"/>
  <c r="AR12" i="58" a="1"/>
  <c r="AR12" i="58" s="1"/>
  <c r="E16" i="58" a="1"/>
  <c r="E16" i="58" s="1"/>
  <c r="Y20" i="58" a="1"/>
  <c r="Y20" i="58" s="1"/>
  <c r="AM13" i="58" a="1"/>
  <c r="AM13" i="58" s="1"/>
  <c r="I11" i="58" a="1"/>
  <c r="I11" i="58" s="1"/>
  <c r="AA10" i="58" a="1"/>
  <c r="AA10" i="58" s="1"/>
  <c r="AA11" i="58" a="1"/>
  <c r="AA11" i="58" s="1"/>
  <c r="AC14" i="58" a="1"/>
  <c r="AC14" i="58" s="1"/>
  <c r="AR15" i="58" a="1"/>
  <c r="AR15" i="58" s="1"/>
  <c r="I12" i="58" a="1"/>
  <c r="I12" i="58" s="1"/>
  <c r="L12" i="58" a="1"/>
  <c r="L12" i="58" s="1"/>
  <c r="M15" i="58" a="1"/>
  <c r="M15" i="58" s="1"/>
  <c r="AQ19" i="58" a="1"/>
  <c r="AQ19" i="58" s="1"/>
  <c r="H11" i="58" a="1"/>
  <c r="H11" i="58" s="1"/>
  <c r="O11" i="58" a="1"/>
  <c r="O11" i="58" s="1"/>
  <c r="O16" i="58" a="1"/>
  <c r="O16" i="58" s="1"/>
  <c r="V10" i="58" a="1"/>
  <c r="V10" i="58" s="1"/>
  <c r="AI15" i="58" a="1"/>
  <c r="AI15" i="58" s="1"/>
  <c r="I10" i="58" a="1"/>
  <c r="I10" i="58" s="1"/>
  <c r="N11" i="58" a="1"/>
  <c r="N11" i="58" s="1"/>
  <c r="AD10" i="58" a="1"/>
  <c r="AD10" i="58" s="1"/>
  <c r="AC12" i="58" a="1"/>
  <c r="AC12" i="58" s="1"/>
  <c r="AM12" i="58" a="1"/>
  <c r="AM12" i="58" s="1"/>
  <c r="AK18" i="58" a="1"/>
  <c r="AK18" i="58" s="1"/>
  <c r="G19" i="58" a="1"/>
  <c r="G19" i="58" s="1"/>
  <c r="AS14" i="58" a="1"/>
  <c r="AS14" i="58" s="1"/>
  <c r="AC16" i="58" a="1"/>
  <c r="AC16" i="58" s="1"/>
  <c r="K20" i="58" a="1"/>
  <c r="K20" i="58" s="1"/>
  <c r="AN18" i="58" a="1"/>
  <c r="AN18" i="58" s="1"/>
  <c r="L14" i="58" a="1"/>
  <c r="L14" i="58" s="1"/>
  <c r="T12" i="58" a="1"/>
  <c r="T12" i="58" s="1"/>
  <c r="F15" i="58" a="1"/>
  <c r="F15" i="58" s="1"/>
  <c r="K11" i="58" a="1"/>
  <c r="K11" i="58" s="1"/>
  <c r="AM10" i="58" a="1"/>
  <c r="AM10" i="58" s="1"/>
  <c r="AI14" i="58" a="1"/>
  <c r="AI14" i="58" s="1"/>
  <c r="K14" i="58" a="1"/>
  <c r="K14" i="58" s="1"/>
  <c r="AS18" i="58" a="1"/>
  <c r="AS18" i="58" s="1"/>
  <c r="AK14" i="58" a="1"/>
  <c r="AK14" i="58" s="1"/>
  <c r="W15" i="58" a="1"/>
  <c r="W15" i="58" s="1"/>
  <c r="V17" i="58" a="1"/>
  <c r="V17" i="58" s="1"/>
  <c r="O18" i="58" a="1"/>
  <c r="O18" i="58" s="1"/>
  <c r="V15" i="58" a="1"/>
  <c r="V15" i="58" s="1"/>
  <c r="N18" i="58" a="1"/>
  <c r="N18" i="58" s="1"/>
  <c r="H15" i="58" a="1"/>
  <c r="H15" i="58" s="1"/>
  <c r="AJ18" i="58" a="1"/>
  <c r="AJ18" i="58" s="1"/>
  <c r="X11" i="58" a="1"/>
  <c r="X11" i="58" s="1"/>
  <c r="Z17" i="58" a="1"/>
  <c r="Z17" i="58" s="1"/>
  <c r="I19" i="58" a="1"/>
  <c r="I19" i="58" s="1"/>
  <c r="AS10" i="58" a="1"/>
  <c r="AS10" i="58" s="1"/>
  <c r="N15" i="58" a="1"/>
  <c r="N15" i="58" s="1"/>
  <c r="AA16" i="58" a="1"/>
  <c r="AA16" i="58" s="1"/>
  <c r="AP12" i="58" a="1"/>
  <c r="AP12" i="58" s="1"/>
  <c r="U18" i="58" a="1"/>
  <c r="U18" i="58" s="1"/>
  <c r="J17" i="58" a="1"/>
  <c r="J17" i="58" s="1"/>
  <c r="I16" i="58" a="1"/>
  <c r="I16" i="58" s="1"/>
  <c r="AQ16" i="58" a="1"/>
  <c r="AQ16" i="58" s="1"/>
  <c r="AC17" i="58" a="1"/>
  <c r="AC17" i="58" s="1"/>
  <c r="AP15" i="58" a="1"/>
  <c r="AP15" i="58" s="1"/>
  <c r="AR18" i="58" a="1"/>
  <c r="AR18" i="58" s="1"/>
  <c r="AC10" i="58" a="1"/>
  <c r="AC10" i="58" s="1"/>
  <c r="AN13" i="58" a="1"/>
  <c r="AN13" i="58" s="1"/>
  <c r="AI13" i="58" a="1"/>
  <c r="AI13" i="58" s="1"/>
  <c r="H10" i="58" a="1"/>
  <c r="H10" i="58" s="1"/>
  <c r="L16" i="58" a="1"/>
  <c r="L16" i="58" s="1"/>
  <c r="U12" i="58" a="1"/>
  <c r="U12" i="58" s="1"/>
  <c r="AD18" i="58" a="1"/>
  <c r="AD18" i="58" s="1"/>
  <c r="T13" i="58" a="1"/>
  <c r="T13" i="58" s="1"/>
  <c r="L13" i="58" a="1"/>
  <c r="L13" i="58" s="1"/>
  <c r="W12" i="58" a="1"/>
  <c r="W12" i="58" s="1"/>
  <c r="E20" i="58" a="1"/>
  <c r="E20" i="58" s="1"/>
  <c r="AD17" i="58" a="1"/>
  <c r="AD17" i="58" s="1"/>
  <c r="AA15" i="58" a="1"/>
  <c r="AA15" i="58" s="1"/>
  <c r="Y10" i="58" a="1"/>
  <c r="Y10" i="58" s="1"/>
  <c r="AD14" i="58" a="1"/>
  <c r="AD14" i="58" s="1"/>
  <c r="AS11" i="58" a="1"/>
  <c r="AS11" i="58" s="1"/>
  <c r="AN12" i="58" a="1"/>
  <c r="AN12" i="58" s="1"/>
  <c r="Y14" i="58" a="1"/>
  <c r="Y14" i="58" s="1"/>
  <c r="AR17" i="58" a="1"/>
  <c r="AR17" i="58" s="1"/>
  <c r="AO13" i="58" a="1"/>
  <c r="AO13" i="58" s="1"/>
  <c r="K13" i="58" a="1"/>
  <c r="K13" i="58" s="1"/>
  <c r="AI16" i="58" a="1"/>
  <c r="AI16" i="58" s="1"/>
  <c r="AQ14" i="58" a="1"/>
  <c r="AQ14" i="58" s="1"/>
  <c r="AC13" i="58" a="1"/>
  <c r="AC13" i="58" s="1"/>
  <c r="W18" i="58" a="1"/>
  <c r="W18" i="58" s="1"/>
  <c r="K12" i="58" a="1"/>
  <c r="K12" i="58" s="1"/>
  <c r="Z13" i="58" a="1"/>
  <c r="Z13" i="58" s="1"/>
  <c r="N17" i="58" a="1"/>
  <c r="N17" i="58" s="1"/>
  <c r="G20" i="58" a="1"/>
  <c r="G20" i="58" s="1"/>
  <c r="AQ12" i="58" a="1"/>
  <c r="AQ12" i="58" s="1"/>
  <c r="AL18" i="58" a="1"/>
  <c r="AL18" i="58" s="1"/>
  <c r="V20" i="58" a="1"/>
  <c r="V20" i="58" s="1"/>
  <c r="AQ11" i="58" a="1"/>
  <c r="AQ11" i="58" s="1"/>
  <c r="AB13" i="58" a="1"/>
  <c r="AB13" i="58" s="1"/>
  <c r="AJ15" i="58" a="1"/>
  <c r="AJ15" i="58" s="1"/>
  <c r="F12" i="58" a="1"/>
  <c r="F12" i="58" s="1"/>
  <c r="E19" i="58" a="1"/>
  <c r="E19" i="58" s="1"/>
  <c r="W17" i="58" a="1"/>
  <c r="W17" i="58" s="1"/>
  <c r="AR16" i="58" a="1"/>
  <c r="AR16" i="58" s="1"/>
  <c r="AS12" i="58" a="1"/>
  <c r="AS12" i="58" s="1"/>
  <c r="AM17" i="58" a="1"/>
  <c r="AM17" i="58" s="1"/>
  <c r="G14" i="58" a="1"/>
  <c r="G14" i="58" s="1"/>
  <c r="AR13" i="58" a="1"/>
  <c r="AR13" i="58" s="1"/>
  <c r="O17" i="58" a="1"/>
  <c r="O17" i="58" s="1"/>
  <c r="AJ14" i="58" a="1"/>
  <c r="AJ14" i="58" s="1"/>
  <c r="K10" i="58" a="1"/>
  <c r="K10" i="58" s="1"/>
  <c r="AP19" i="58" a="1"/>
  <c r="AP19" i="58" s="1"/>
  <c r="G13" i="58" a="1"/>
  <c r="G13" i="58" s="1"/>
  <c r="X18" i="58" a="1"/>
  <c r="X18" i="58" s="1"/>
  <c r="V18" i="58" a="1"/>
  <c r="V18" i="58" s="1"/>
  <c r="AR20" i="58" a="1"/>
  <c r="AR20" i="58" s="1"/>
  <c r="T11" i="58" a="1"/>
  <c r="T11" i="58" s="1"/>
  <c r="AJ10" i="58" a="1"/>
  <c r="AJ10" i="58" s="1"/>
  <c r="G17" i="58" a="1"/>
  <c r="G17" i="58" s="1"/>
  <c r="AO12" i="58" a="1"/>
  <c r="AO12" i="58" s="1"/>
  <c r="I13" i="58" a="1"/>
  <c r="I13" i="58" s="1"/>
  <c r="AL10" i="58" a="1"/>
  <c r="AL10" i="58" s="1"/>
  <c r="J11" i="58" a="1"/>
  <c r="J11" i="58" s="1"/>
  <c r="AM18" i="58" a="1"/>
  <c r="AM18" i="58" s="1"/>
  <c r="AO19" i="58" a="1"/>
  <c r="AO19" i="58" s="1"/>
  <c r="AC18" i="58" a="1"/>
  <c r="AC18" i="58" s="1"/>
  <c r="AN14" i="58" a="1"/>
  <c r="AN14" i="58" s="1"/>
  <c r="AK16" i="58" a="1"/>
  <c r="AK16" i="58" s="1"/>
  <c r="N16" i="58" a="1"/>
  <c r="N16" i="58" s="1"/>
  <c r="AB20" i="58" a="1"/>
  <c r="AB20" i="58" s="1"/>
  <c r="AC11" i="58" a="1"/>
  <c r="AC11" i="58" s="1"/>
  <c r="H16" i="58" a="1"/>
  <c r="H16" i="58" s="1"/>
  <c r="J12" i="58" a="1"/>
  <c r="J12" i="58" s="1"/>
  <c r="G15" i="58" a="1"/>
  <c r="G15" i="58" s="1"/>
  <c r="M17" i="58" a="1"/>
  <c r="M17" i="58" s="1"/>
  <c r="AO18" i="58" a="1"/>
  <c r="AO18" i="58" s="1"/>
  <c r="Y18" i="58" a="1"/>
  <c r="Y18" i="58" s="1"/>
  <c r="U14" i="58" a="1"/>
  <c r="U14" i="58" s="1"/>
  <c r="N20" i="58" a="1"/>
  <c r="N20" i="58" s="1"/>
  <c r="J19" i="58" a="1"/>
  <c r="J19" i="58" s="1"/>
  <c r="U17" i="58" a="1"/>
  <c r="U17" i="58" s="1"/>
  <c r="F13" i="58" a="1"/>
  <c r="F13" i="58" s="1"/>
  <c r="AD12" i="58" a="1"/>
  <c r="AD12" i="58" s="1"/>
  <c r="J14" i="58" a="1"/>
  <c r="J14" i="58" s="1"/>
  <c r="AD13" i="58" a="1"/>
  <c r="AD13" i="58" s="1"/>
  <c r="AQ20" i="58" a="1"/>
  <c r="AQ20" i="58" s="1"/>
  <c r="AP10" i="58" a="1"/>
  <c r="AP10" i="58" s="1"/>
  <c r="Y11" i="58" a="1"/>
  <c r="Y11" i="58" s="1"/>
  <c r="U19" i="58" a="1"/>
  <c r="U19" i="58" s="1"/>
  <c r="Z19" i="58" a="1"/>
  <c r="Z19" i="58" s="1"/>
  <c r="F20" i="58" a="1"/>
  <c r="F20" i="58" s="1"/>
  <c r="E68" i="6"/>
  <c r="I27" i="6" s="1"/>
  <c r="C59" i="6"/>
  <c r="E58" i="6" s="1"/>
  <c r="G17" i="6" s="1"/>
  <c r="C58" i="6"/>
  <c r="G18" i="6" s="1"/>
  <c r="H29" i="6"/>
  <c r="D29" i="6"/>
  <c r="H28" i="6"/>
  <c r="D28" i="6"/>
  <c r="H27" i="6"/>
  <c r="D27" i="6"/>
  <c r="H26" i="6"/>
  <c r="D26" i="6"/>
  <c r="H25" i="6"/>
  <c r="D25" i="6"/>
  <c r="H24" i="6"/>
  <c r="D24" i="6"/>
  <c r="H23" i="6"/>
  <c r="D23" i="6"/>
  <c r="H22" i="6"/>
  <c r="D22" i="6"/>
  <c r="H21" i="6"/>
  <c r="D21" i="6"/>
  <c r="H20" i="6"/>
  <c r="M18" i="6"/>
  <c r="K18" i="6"/>
  <c r="J18" i="6"/>
  <c r="K17" i="6"/>
  <c r="C12" i="6"/>
  <c r="C11" i="6"/>
  <c r="C76" i="11"/>
  <c r="E76" i="11" s="1"/>
  <c r="C56" i="11"/>
  <c r="E55" i="11" s="1"/>
  <c r="C13" i="11"/>
  <c r="C12" i="11"/>
  <c r="G24" i="11" l="1"/>
  <c r="G25" i="11"/>
  <c r="G26" i="11"/>
  <c r="G22" i="11"/>
  <c r="G23" i="11"/>
  <c r="J22" i="11"/>
  <c r="J24" i="11"/>
  <c r="J23" i="11"/>
  <c r="J25" i="11"/>
  <c r="J26" i="11"/>
  <c r="F17" i="6"/>
  <c r="F18" i="6"/>
  <c r="I24" i="6"/>
  <c r="L18" i="6"/>
  <c r="I22" i="6"/>
  <c r="I25" i="6"/>
  <c r="I28" i="6"/>
  <c r="I21" i="6"/>
  <c r="I20" i="6"/>
  <c r="I23" i="6"/>
  <c r="I26" i="6"/>
  <c r="I29" i="6"/>
  <c r="D58" i="6"/>
  <c r="C57" i="11" l="1"/>
  <c r="C58" i="11" s="1"/>
  <c r="D61" i="11" s="1"/>
  <c r="E61" i="11" s="1"/>
  <c r="D55" i="11" s="1"/>
  <c r="H19" i="11" l="1"/>
  <c r="I19" i="11"/>
  <c r="J17" i="6"/>
  <c r="M17" i="6"/>
  <c r="I23" i="11" l="1"/>
  <c r="I25" i="11"/>
  <c r="I22" i="11"/>
  <c r="I24" i="11"/>
  <c r="I26" i="11"/>
  <c r="H23" i="11"/>
  <c r="H22" i="11"/>
  <c r="H26" i="11"/>
  <c r="H25" i="11"/>
  <c r="H24" i="11"/>
  <c r="F20" i="6"/>
  <c r="G20" i="6"/>
  <c r="K20" i="6"/>
  <c r="M25" i="6"/>
  <c r="M20" i="6"/>
  <c r="M24" i="6"/>
  <c r="M21" i="6"/>
  <c r="M23" i="6"/>
  <c r="M22" i="6"/>
  <c r="M27" i="6"/>
  <c r="M26" i="6"/>
  <c r="M28" i="6"/>
  <c r="M29" i="6"/>
  <c r="G28" i="6"/>
  <c r="G30" i="11"/>
  <c r="K28" i="6"/>
  <c r="F28" i="6"/>
  <c r="I27" i="11"/>
  <c r="I28" i="11"/>
  <c r="I31" i="11"/>
  <c r="I30" i="11"/>
  <c r="I29" i="11"/>
  <c r="G24" i="6"/>
  <c r="F24" i="6"/>
  <c r="K24" i="6"/>
  <c r="J25" i="6"/>
  <c r="J26" i="6"/>
  <c r="J24" i="6"/>
  <c r="J20" i="6"/>
  <c r="J23" i="6"/>
  <c r="J21" i="6"/>
  <c r="J27" i="6"/>
  <c r="J22" i="6"/>
  <c r="J29" i="6"/>
  <c r="J28" i="6"/>
  <c r="G27" i="11"/>
  <c r="G25" i="6"/>
  <c r="F25" i="6"/>
  <c r="K25" i="6"/>
  <c r="G21" i="6"/>
  <c r="K21" i="6"/>
  <c r="F21" i="6"/>
  <c r="G28" i="11"/>
  <c r="K26" i="6"/>
  <c r="F26" i="6"/>
  <c r="G26" i="6"/>
  <c r="G22" i="6"/>
  <c r="F22" i="6"/>
  <c r="K22" i="6"/>
  <c r="K23" i="6"/>
  <c r="G23" i="6"/>
  <c r="F23" i="6"/>
  <c r="L17" i="6"/>
  <c r="H27" i="11"/>
  <c r="H30" i="11"/>
  <c r="H31" i="11"/>
  <c r="H28" i="11"/>
  <c r="H29" i="11"/>
  <c r="F27" i="6"/>
  <c r="K27" i="6"/>
  <c r="G29" i="11"/>
  <c r="G27" i="6"/>
  <c r="F29" i="6"/>
  <c r="G31" i="11"/>
  <c r="G29" i="6"/>
  <c r="K29" i="6"/>
  <c r="P48" i="60"/>
  <c r="P54" i="60"/>
  <c r="P55" i="60"/>
  <c r="P49" i="60"/>
  <c r="P50" i="60"/>
  <c r="P47" i="60"/>
  <c r="P52" i="60"/>
  <c r="P51" i="60"/>
  <c r="P53" i="60"/>
  <c r="E65" i="61" l="1" a="1"/>
  <c r="E65" i="61" s="1"/>
  <c r="E63" i="61" a="1"/>
  <c r="E63" i="61" s="1"/>
  <c r="F64" i="61" a="1"/>
  <c r="F64" i="61" s="1"/>
  <c r="D65" i="61" a="1"/>
  <c r="D65" i="61" s="1"/>
  <c r="F63" i="61" a="1"/>
  <c r="F63" i="61" s="1"/>
  <c r="D64" i="61" a="1"/>
  <c r="D64" i="61" s="1"/>
  <c r="T28" i="65" a="1"/>
  <c r="T28" i="65" s="1"/>
  <c r="T39" i="65" a="1"/>
  <c r="T39" i="65" s="1"/>
  <c r="AH40" i="65" a="1"/>
  <c r="AH40" i="65" s="1"/>
  <c r="U39" i="65" a="1"/>
  <c r="U39" i="65" s="1"/>
  <c r="F49" i="65" a="1"/>
  <c r="F49" i="65" s="1"/>
  <c r="H48" i="65" a="1"/>
  <c r="H48" i="65" s="1"/>
  <c r="S40" i="65" a="1"/>
  <c r="S40" i="65" s="1"/>
  <c r="T36" i="65" a="1"/>
  <c r="T36" i="65" s="1"/>
  <c r="S26" i="65" a="1"/>
  <c r="S26" i="65" s="1"/>
  <c r="AI39" i="65" a="1"/>
  <c r="AI39" i="65" s="1"/>
  <c r="AI29" i="65" a="1"/>
  <c r="AI29" i="65" s="1"/>
  <c r="E36" i="65" a="1"/>
  <c r="E36" i="65" s="1"/>
  <c r="H49" i="65" a="1"/>
  <c r="H49" i="65" s="1"/>
  <c r="U46" i="65" a="1"/>
  <c r="U46" i="65" s="1"/>
  <c r="U37" i="65" a="1"/>
  <c r="U37" i="65" s="1"/>
  <c r="V29" i="65" a="1"/>
  <c r="V29" i="65" s="1"/>
  <c r="AJ40" i="65" a="1"/>
  <c r="AJ40" i="65" s="1"/>
  <c r="AK36" i="65" a="1"/>
  <c r="AK36" i="65" s="1"/>
  <c r="AL36" i="65" a="1"/>
  <c r="AL36" i="65" s="1"/>
  <c r="AJ29" i="65" a="1"/>
  <c r="AJ29" i="65" s="1"/>
  <c r="V40" i="65" a="1"/>
  <c r="V40" i="65" s="1"/>
  <c r="AH26" i="65" a="1"/>
  <c r="AH26" i="65" s="1"/>
  <c r="AI40" i="65" a="1"/>
  <c r="AI40" i="65" s="1"/>
  <c r="D26" i="65" a="1"/>
  <c r="D26" i="65" s="1"/>
  <c r="AL26" i="65" a="1"/>
  <c r="AL26" i="65" s="1"/>
  <c r="S48" i="65" a="1"/>
  <c r="S48" i="65" s="1"/>
  <c r="V46" i="65" a="1"/>
  <c r="V46" i="65" s="1"/>
  <c r="W36" i="65" a="1"/>
  <c r="W36" i="65" s="1"/>
  <c r="AJ46" i="65" a="1"/>
  <c r="AJ46" i="65" s="1"/>
  <c r="AK40" i="65" a="1"/>
  <c r="AK40" i="65" s="1"/>
  <c r="D38" i="65" a="1"/>
  <c r="D38" i="65" s="1"/>
  <c r="H46" i="65" a="1"/>
  <c r="H46" i="65" s="1"/>
  <c r="V28" i="65" a="1"/>
  <c r="V28" i="65" s="1"/>
  <c r="T46" i="65" a="1"/>
  <c r="T46" i="65" s="1"/>
  <c r="AK26" i="65" a="1"/>
  <c r="AK26" i="65" s="1"/>
  <c r="E29" i="65" a="1"/>
  <c r="E29" i="65" s="1"/>
  <c r="S49" i="65" a="1"/>
  <c r="S49" i="65" s="1"/>
  <c r="W48" i="65" a="1"/>
  <c r="W48" i="65" s="1"/>
  <c r="V37" i="65" a="1"/>
  <c r="V37" i="65" s="1"/>
  <c r="W49" i="65" a="1"/>
  <c r="W49" i="65" s="1"/>
  <c r="D48" i="65" a="1"/>
  <c r="D48" i="65" s="1"/>
  <c r="E48" i="65" a="1"/>
  <c r="E48" i="65" s="1"/>
  <c r="S28" i="65" a="1"/>
  <c r="S28" i="65" s="1"/>
  <c r="D37" i="65" a="1"/>
  <c r="D37" i="65" s="1"/>
  <c r="G26" i="65" a="1"/>
  <c r="G26" i="65" s="1"/>
  <c r="F37" i="65" a="1"/>
  <c r="F37" i="65" s="1"/>
  <c r="F28" i="65" a="1"/>
  <c r="F28" i="65" s="1"/>
  <c r="AK28" i="65" a="1"/>
  <c r="AK28" i="65" s="1"/>
  <c r="G46" i="65" a="1"/>
  <c r="G46" i="65" s="1"/>
  <c r="T38" i="65" a="1"/>
  <c r="T38" i="65" s="1"/>
  <c r="W39" i="65" a="1"/>
  <c r="W39" i="65" s="1"/>
  <c r="U49" i="65" a="1"/>
  <c r="U49" i="65" s="1"/>
  <c r="AJ39" i="65" a="1"/>
  <c r="AJ39" i="65" s="1"/>
  <c r="E46" i="65" a="1"/>
  <c r="E46" i="65" s="1"/>
  <c r="AH29" i="65" a="1"/>
  <c r="AH29" i="65" s="1"/>
  <c r="H38" i="65" a="1"/>
  <c r="H38" i="65" s="1"/>
  <c r="AL28" i="65" a="1"/>
  <c r="AL28" i="65" s="1"/>
  <c r="S38" i="65" a="1"/>
  <c r="S38" i="65" s="1"/>
  <c r="G37" i="65" a="1"/>
  <c r="G37" i="65" s="1"/>
  <c r="G40" i="65" a="1"/>
  <c r="G40" i="65" s="1"/>
  <c r="H36" i="65" a="1"/>
  <c r="H36" i="65" s="1"/>
  <c r="T40" i="65" a="1"/>
  <c r="T40" i="65" s="1"/>
  <c r="W46" i="65" a="1"/>
  <c r="W46" i="65" s="1"/>
  <c r="AI36" i="65" a="1"/>
  <c r="AI36" i="65" s="1"/>
  <c r="AL49" i="65" a="1"/>
  <c r="AL49" i="65" s="1"/>
  <c r="AJ26" i="65" a="1"/>
  <c r="AJ26" i="65" s="1"/>
  <c r="V26" i="65" a="1"/>
  <c r="V26" i="65" s="1"/>
  <c r="AK38" i="65" a="1"/>
  <c r="AK38" i="65" s="1"/>
  <c r="AH37" i="65" a="1"/>
  <c r="AH37" i="65" s="1"/>
  <c r="AL38" i="65" a="1"/>
  <c r="AL38" i="65" s="1"/>
  <c r="F40" i="65" a="1"/>
  <c r="F40" i="65" s="1"/>
  <c r="F46" i="65" a="1"/>
  <c r="F46" i="65" s="1"/>
  <c r="G38" i="65" a="1"/>
  <c r="G38" i="65" s="1"/>
  <c r="F26" i="65" a="1"/>
  <c r="F26" i="65" s="1"/>
  <c r="AH48" i="65" a="1"/>
  <c r="AH48" i="65" s="1"/>
  <c r="AH38" i="65" a="1"/>
  <c r="AH38" i="65" s="1"/>
  <c r="AH28" i="65" a="1"/>
  <c r="AH28" i="65" s="1"/>
  <c r="AJ28" i="65" a="1"/>
  <c r="AJ28" i="65" s="1"/>
  <c r="H29" i="65" a="1"/>
  <c r="H29" i="65" s="1"/>
  <c r="G29" i="65" a="1"/>
  <c r="G29" i="65" s="1"/>
  <c r="H26" i="65" a="1"/>
  <c r="H26" i="65" s="1"/>
  <c r="AL29" i="65" a="1"/>
  <c r="AL29" i="65" s="1"/>
  <c r="T29" i="65" a="1"/>
  <c r="T29" i="65" s="1"/>
  <c r="AI26" i="65" a="1"/>
  <c r="AI26" i="65" s="1"/>
  <c r="AL48" i="65" a="1"/>
  <c r="AL48" i="65" s="1"/>
  <c r="V36" i="65" a="1"/>
  <c r="V36" i="65" s="1"/>
  <c r="D49" i="65" a="1"/>
  <c r="D49" i="65" s="1"/>
  <c r="W29" i="65" a="1"/>
  <c r="W29" i="65" s="1"/>
  <c r="AK48" i="65" a="1"/>
  <c r="AK48" i="65" s="1"/>
  <c r="AH49" i="65" a="1"/>
  <c r="AH49" i="65" s="1"/>
  <c r="AK29" i="65" a="1"/>
  <c r="AK29" i="65" s="1"/>
  <c r="AL37" i="65" a="1"/>
  <c r="AL37" i="65" s="1"/>
  <c r="W38" i="65" a="1"/>
  <c r="W38" i="65" s="1"/>
  <c r="T26" i="65" a="1"/>
  <c r="T26" i="65" s="1"/>
  <c r="U36" i="65" a="1"/>
  <c r="U36" i="65" s="1"/>
  <c r="AJ36" i="65" a="1"/>
  <c r="AJ36" i="65" s="1"/>
  <c r="T49" i="65" a="1"/>
  <c r="T49" i="65" s="1"/>
  <c r="U40" i="65" a="1"/>
  <c r="U40" i="65" s="1"/>
  <c r="U26" i="65" a="1"/>
  <c r="U26" i="65" s="1"/>
  <c r="D39" i="65" a="1"/>
  <c r="D39" i="65" s="1"/>
  <c r="AH39" i="65" a="1"/>
  <c r="AH39" i="65" s="1"/>
  <c r="E26" i="65" a="1"/>
  <c r="E26" i="65" s="1"/>
  <c r="AI49" i="65" a="1"/>
  <c r="AI49" i="65" s="1"/>
  <c r="S39" i="65" a="1"/>
  <c r="S39" i="65" s="1"/>
  <c r="AL39" i="65" a="1"/>
  <c r="AL39" i="65" s="1"/>
  <c r="AK37" i="65" a="1"/>
  <c r="AK37" i="65" s="1"/>
  <c r="H28" i="65" a="1"/>
  <c r="H28" i="65" s="1"/>
  <c r="F36" i="65" a="1"/>
  <c r="F36" i="65" s="1"/>
  <c r="T48" i="65" a="1"/>
  <c r="T48" i="65" s="1"/>
  <c r="D28" i="65" a="1"/>
  <c r="D28" i="65" s="1"/>
  <c r="AI38" i="65" a="1"/>
  <c r="AI38" i="65" s="1"/>
  <c r="AI46" i="65" a="1"/>
  <c r="AI46" i="65" s="1"/>
  <c r="G28" i="65" a="1"/>
  <c r="G28" i="65" s="1"/>
  <c r="AI28" i="65" a="1"/>
  <c r="AI28" i="65" s="1"/>
  <c r="W26" i="65" a="1"/>
  <c r="W26" i="65" s="1"/>
  <c r="E40" i="65" a="1"/>
  <c r="E40" i="65" s="1"/>
  <c r="E39" i="65" a="1"/>
  <c r="E39" i="65" s="1"/>
  <c r="AI48" i="65" a="1"/>
  <c r="AI48" i="65" s="1"/>
  <c r="S29" i="65" a="1"/>
  <c r="S29" i="65" s="1"/>
  <c r="H37" i="65" a="1"/>
  <c r="H37" i="65" s="1"/>
  <c r="AL46" i="65" a="1"/>
  <c r="AL46" i="65" s="1"/>
  <c r="AJ49" i="65" a="1"/>
  <c r="AJ49" i="65" s="1"/>
  <c r="D40" i="65" a="1"/>
  <c r="D40" i="65" s="1"/>
  <c r="W28" i="65" a="1"/>
  <c r="W28" i="65" s="1"/>
  <c r="V38" i="65" a="1"/>
  <c r="V38" i="65" s="1"/>
  <c r="F29" i="65" a="1"/>
  <c r="F29" i="65" s="1"/>
  <c r="G36" i="65" a="1"/>
  <c r="G36" i="65" s="1"/>
  <c r="D29" i="65" a="1"/>
  <c r="D29" i="65" s="1"/>
  <c r="AJ37" i="65" a="1"/>
  <c r="AJ37" i="65" s="1"/>
  <c r="S37" i="65" a="1"/>
  <c r="S37" i="65" s="1"/>
  <c r="E38" i="65" a="1"/>
  <c r="E38" i="65" s="1"/>
  <c r="V48" i="65" a="1"/>
  <c r="V48" i="65" s="1"/>
  <c r="AK46" i="65" a="1"/>
  <c r="AK46" i="65" s="1"/>
  <c r="E28" i="65" a="1"/>
  <c r="E28" i="65" s="1"/>
  <c r="H39" i="65" a="1"/>
  <c r="H39" i="65" s="1"/>
  <c r="F39" i="65" a="1"/>
  <c r="F39" i="65" s="1"/>
  <c r="U29" i="65" a="1"/>
  <c r="U29" i="65" s="1"/>
  <c r="U28" i="65" a="1"/>
  <c r="U28" i="65" s="1"/>
  <c r="W37" i="65" a="1"/>
  <c r="W37" i="65" s="1"/>
  <c r="G48" i="65" a="1"/>
  <c r="G48" i="65" s="1"/>
  <c r="E49" i="65" a="1"/>
  <c r="E49" i="65" s="1"/>
  <c r="F64" i="64" a="1"/>
  <c r="F64" i="64" s="1"/>
  <c r="E65" i="64" a="1"/>
  <c r="E65" i="64" s="1"/>
  <c r="E63" i="64" a="1"/>
  <c r="E63" i="64" s="1"/>
  <c r="F63" i="64" a="1"/>
  <c r="F63" i="64" s="1"/>
  <c r="D64" i="64" a="1"/>
  <c r="D64" i="64" s="1"/>
  <c r="D65" i="64" a="1"/>
  <c r="D65" i="64" s="1"/>
  <c r="F64" i="62" a="1"/>
  <c r="F64" i="62" s="1"/>
  <c r="E63" i="62" a="1"/>
  <c r="E63" i="62" s="1"/>
  <c r="F63" i="62" a="1"/>
  <c r="F63" i="62" s="1"/>
  <c r="D64" i="62" a="1"/>
  <c r="D64" i="62" s="1"/>
  <c r="E65" i="62" a="1"/>
  <c r="E65" i="62" s="1"/>
  <c r="D65" i="62" a="1"/>
  <c r="D65" i="62" s="1"/>
  <c r="V29" i="66" a="1"/>
  <c r="V29" i="66" s="1"/>
  <c r="AK36" i="66" a="1"/>
  <c r="AK36" i="66" s="1"/>
  <c r="V46" i="66" a="1"/>
  <c r="V46" i="66" s="1"/>
  <c r="S48" i="66" a="1"/>
  <c r="S48" i="66" s="1"/>
  <c r="T48" i="66" a="1"/>
  <c r="T48" i="66" s="1"/>
  <c r="AK46" i="66" a="1"/>
  <c r="AK46" i="66" s="1"/>
  <c r="V48" i="66" a="1"/>
  <c r="V48" i="66" s="1"/>
  <c r="T46" i="66" a="1"/>
  <c r="T46" i="66" s="1"/>
  <c r="S49" i="66" a="1"/>
  <c r="S49" i="66" s="1"/>
  <c r="AL46" i="66" a="1"/>
  <c r="AL46" i="66" s="1"/>
  <c r="V26" i="66" a="1"/>
  <c r="V26" i="66" s="1"/>
  <c r="H37" i="66" a="1"/>
  <c r="H37" i="66" s="1"/>
  <c r="AJ36" i="66" a="1"/>
  <c r="AJ36" i="66" s="1"/>
  <c r="E38" i="66" a="1"/>
  <c r="E38" i="66" s="1"/>
  <c r="G48" i="66" a="1"/>
  <c r="G48" i="66" s="1"/>
  <c r="AH49" i="66" a="1"/>
  <c r="AH49" i="66" s="1"/>
  <c r="E49" i="66" a="1"/>
  <c r="E49" i="66" s="1"/>
  <c r="F49" i="66" a="1"/>
  <c r="F49" i="66" s="1"/>
  <c r="H49" i="66" a="1"/>
  <c r="H49" i="66" s="1"/>
  <c r="W48" i="66" a="1"/>
  <c r="W48" i="66" s="1"/>
  <c r="T28" i="66" a="1"/>
  <c r="T28" i="66" s="1"/>
  <c r="U49" i="66" a="1"/>
  <c r="U49" i="66" s="1"/>
  <c r="F29" i="66" a="1"/>
  <c r="F29" i="66" s="1"/>
  <c r="H39" i="66" a="1"/>
  <c r="H39" i="66" s="1"/>
  <c r="U37" i="66" a="1"/>
  <c r="U37" i="66" s="1"/>
  <c r="AK38" i="66" a="1"/>
  <c r="AK38" i="66" s="1"/>
  <c r="E26" i="66" a="1"/>
  <c r="E26" i="66" s="1"/>
  <c r="F26" i="66" a="1"/>
  <c r="F26" i="66" s="1"/>
  <c r="AJ49" i="66" a="1"/>
  <c r="AJ49" i="66" s="1"/>
  <c r="G26" i="66" a="1"/>
  <c r="G26" i="66" s="1"/>
  <c r="AL49" i="66" a="1"/>
  <c r="AL49" i="66" s="1"/>
  <c r="AL48" i="66" a="1"/>
  <c r="AL48" i="66" s="1"/>
  <c r="E36" i="66" a="1"/>
  <c r="E36" i="66" s="1"/>
  <c r="D48" i="66" a="1"/>
  <c r="D48" i="66" s="1"/>
  <c r="AL36" i="66" a="1"/>
  <c r="AL36" i="66" s="1"/>
  <c r="E46" i="66" a="1"/>
  <c r="E46" i="66" s="1"/>
  <c r="AI38" i="66" a="1"/>
  <c r="AI38" i="66" s="1"/>
  <c r="E40" i="66" a="1"/>
  <c r="E40" i="66" s="1"/>
  <c r="E28" i="66" a="1"/>
  <c r="E28" i="66" s="1"/>
  <c r="G28" i="66" a="1"/>
  <c r="G28" i="66" s="1"/>
  <c r="AH26" i="66" a="1"/>
  <c r="AH26" i="66" s="1"/>
  <c r="AI26" i="66" a="1"/>
  <c r="AI26" i="66" s="1"/>
  <c r="H26" i="66" a="1"/>
  <c r="H26" i="66" s="1"/>
  <c r="F28" i="66" a="1"/>
  <c r="F28" i="66" s="1"/>
  <c r="D38" i="66" a="1"/>
  <c r="D38" i="66" s="1"/>
  <c r="W49" i="66" a="1"/>
  <c r="W49" i="66" s="1"/>
  <c r="AL38" i="66" a="1"/>
  <c r="AL38" i="66" s="1"/>
  <c r="AH48" i="66" a="1"/>
  <c r="AH48" i="66" s="1"/>
  <c r="T39" i="66" a="1"/>
  <c r="T39" i="66" s="1"/>
  <c r="D28" i="66" a="1"/>
  <c r="D28" i="66" s="1"/>
  <c r="AH28" i="66" a="1"/>
  <c r="AH28" i="66" s="1"/>
  <c r="AI28" i="66" a="1"/>
  <c r="AI28" i="66" s="1"/>
  <c r="H28" i="66" a="1"/>
  <c r="H28" i="66" s="1"/>
  <c r="AJ28" i="66" a="1"/>
  <c r="AJ28" i="66" s="1"/>
  <c r="AK26" i="66" a="1"/>
  <c r="AK26" i="66" s="1"/>
  <c r="AI29" i="66" a="1"/>
  <c r="AI29" i="66" s="1"/>
  <c r="D40" i="66" a="1"/>
  <c r="D40" i="66" s="1"/>
  <c r="E48" i="66" a="1"/>
  <c r="E48" i="66" s="1"/>
  <c r="AJ40" i="66" a="1"/>
  <c r="AJ40" i="66" s="1"/>
  <c r="H46" i="66" a="1"/>
  <c r="H46" i="66" s="1"/>
  <c r="AI40" i="66" a="1"/>
  <c r="AI40" i="66" s="1"/>
  <c r="V28" i="66" a="1"/>
  <c r="V28" i="66" s="1"/>
  <c r="AH29" i="66" a="1"/>
  <c r="AH29" i="66" s="1"/>
  <c r="AJ29" i="66" a="1"/>
  <c r="AJ29" i="66" s="1"/>
  <c r="H29" i="66" a="1"/>
  <c r="H29" i="66" s="1"/>
  <c r="S29" i="66" a="1"/>
  <c r="S29" i="66" s="1"/>
  <c r="AK28" i="66" a="1"/>
  <c r="AK28" i="66" s="1"/>
  <c r="AH37" i="66" a="1"/>
  <c r="AH37" i="66" s="1"/>
  <c r="AI46" i="66" a="1"/>
  <c r="AI46" i="66" s="1"/>
  <c r="AI49" i="66" a="1"/>
  <c r="AI49" i="66" s="1"/>
  <c r="W26" i="66" a="1"/>
  <c r="W26" i="66" s="1"/>
  <c r="AK48" i="66" a="1"/>
  <c r="AK48" i="66" s="1"/>
  <c r="U46" i="66" a="1"/>
  <c r="U46" i="66" s="1"/>
  <c r="W29" i="66" a="1"/>
  <c r="W29" i="66" s="1"/>
  <c r="T36" i="66" a="1"/>
  <c r="T36" i="66" s="1"/>
  <c r="U36" i="66" a="1"/>
  <c r="U36" i="66" s="1"/>
  <c r="AK29" i="66" a="1"/>
  <c r="AK29" i="66" s="1"/>
  <c r="V36" i="66" a="1"/>
  <c r="V36" i="66" s="1"/>
  <c r="U29" i="66" a="1"/>
  <c r="U29" i="66" s="1"/>
  <c r="AH39" i="66" a="1"/>
  <c r="AH39" i="66" s="1"/>
  <c r="T49" i="66" a="1"/>
  <c r="T49" i="66" s="1"/>
  <c r="S26" i="66" a="1"/>
  <c r="S26" i="66" s="1"/>
  <c r="G29" i="66" a="1"/>
  <c r="G29" i="66" s="1"/>
  <c r="AI48" i="66" a="1"/>
  <c r="AI48" i="66" s="1"/>
  <c r="G36" i="66" a="1"/>
  <c r="G36" i="66" s="1"/>
  <c r="W37" i="66" a="1"/>
  <c r="W37" i="66" s="1"/>
  <c r="AJ37" i="66" a="1"/>
  <c r="AJ37" i="66" s="1"/>
  <c r="F37" i="66" a="1"/>
  <c r="F37" i="66" s="1"/>
  <c r="G37" i="66" a="1"/>
  <c r="G37" i="66" s="1"/>
  <c r="W36" i="66" a="1"/>
  <c r="W36" i="66" s="1"/>
  <c r="D49" i="66" a="1"/>
  <c r="D49" i="66" s="1"/>
  <c r="D26" i="66" a="1"/>
  <c r="D26" i="66" s="1"/>
  <c r="AL28" i="66" a="1"/>
  <c r="AL28" i="66" s="1"/>
  <c r="D37" i="66" a="1"/>
  <c r="D37" i="66" s="1"/>
  <c r="U26" i="66" a="1"/>
  <c r="U26" i="66" s="1"/>
  <c r="V37" i="66" a="1"/>
  <c r="V37" i="66" s="1"/>
  <c r="S38" i="66" a="1"/>
  <c r="S38" i="66" s="1"/>
  <c r="T38" i="66" a="1"/>
  <c r="T38" i="66" s="1"/>
  <c r="AK37" i="66" a="1"/>
  <c r="AK37" i="66" s="1"/>
  <c r="V38" i="66" a="1"/>
  <c r="V38" i="66" s="1"/>
  <c r="S37" i="66" a="1"/>
  <c r="S37" i="66" s="1"/>
  <c r="S28" i="66" a="1"/>
  <c r="S28" i="66" s="1"/>
  <c r="W28" i="66" a="1"/>
  <c r="W28" i="66" s="1"/>
  <c r="AI36" i="66" a="1"/>
  <c r="AI36" i="66" s="1"/>
  <c r="D39" i="66" a="1"/>
  <c r="D39" i="66" s="1"/>
  <c r="T26" i="66" a="1"/>
  <c r="T26" i="66" s="1"/>
  <c r="U28" i="66" a="1"/>
  <c r="U28" i="66" s="1"/>
  <c r="G38" i="66" a="1"/>
  <c r="G38" i="66" s="1"/>
  <c r="W39" i="66" a="1"/>
  <c r="W39" i="66" s="1"/>
  <c r="AI39" i="66" a="1"/>
  <c r="AI39" i="66" s="1"/>
  <c r="E39" i="66" a="1"/>
  <c r="E39" i="66" s="1"/>
  <c r="F39" i="66" a="1"/>
  <c r="F39" i="66" s="1"/>
  <c r="W38" i="66" a="1"/>
  <c r="W38" i="66" s="1"/>
  <c r="AL29" i="66" a="1"/>
  <c r="AL29" i="66" s="1"/>
  <c r="H36" i="66" a="1"/>
  <c r="H36" i="66" s="1"/>
  <c r="AH38" i="66" a="1"/>
  <c r="AH38" i="66" s="1"/>
  <c r="AK40" i="66" a="1"/>
  <c r="AK40" i="66" s="1"/>
  <c r="AL26" i="66" a="1"/>
  <c r="AL26" i="66" s="1"/>
  <c r="E29" i="66" a="1"/>
  <c r="E29" i="66" s="1"/>
  <c r="U39" i="66" a="1"/>
  <c r="U39" i="66" s="1"/>
  <c r="S40" i="66" a="1"/>
  <c r="S40" i="66" s="1"/>
  <c r="T40" i="66" a="1"/>
  <c r="T40" i="66" s="1"/>
  <c r="AJ39" i="66" a="1"/>
  <c r="AJ39" i="66" s="1"/>
  <c r="U40" i="66" a="1"/>
  <c r="U40" i="66" s="1"/>
  <c r="S39" i="66" a="1"/>
  <c r="S39" i="66" s="1"/>
  <c r="AL37" i="66" a="1"/>
  <c r="AL37" i="66" s="1"/>
  <c r="H38" i="66" a="1"/>
  <c r="H38" i="66" s="1"/>
  <c r="AH40" i="66" a="1"/>
  <c r="AH40" i="66" s="1"/>
  <c r="AJ26" i="66" a="1"/>
  <c r="AJ26" i="66" s="1"/>
  <c r="D29" i="66" a="1"/>
  <c r="D29" i="66" s="1"/>
  <c r="F36" i="66" a="1"/>
  <c r="F36" i="66" s="1"/>
  <c r="F40" i="66" a="1"/>
  <c r="F40" i="66" s="1"/>
  <c r="W46" i="66" a="1"/>
  <c r="W46" i="66" s="1"/>
  <c r="AJ46" i="66" a="1"/>
  <c r="AJ46" i="66" s="1"/>
  <c r="F46" i="66" a="1"/>
  <c r="F46" i="66" s="1"/>
  <c r="G46" i="66" a="1"/>
  <c r="G46" i="66" s="1"/>
  <c r="V40" i="66" a="1"/>
  <c r="V40" i="66" s="1"/>
  <c r="AL39" i="66" a="1"/>
  <c r="AL39" i="66" s="1"/>
  <c r="G40" i="66" a="1"/>
  <c r="G40" i="66" s="1"/>
  <c r="H48" i="66" a="1"/>
  <c r="H48" i="66" s="1"/>
  <c r="T29" i="66" a="1"/>
  <c r="T29" i="66" s="1"/>
  <c r="D64" i="63" a="1"/>
  <c r="D64" i="63" s="1"/>
  <c r="E65" i="63" a="1"/>
  <c r="E65" i="63" s="1"/>
  <c r="E63" i="63" a="1"/>
  <c r="E63" i="63" s="1"/>
  <c r="F63" i="63" a="1"/>
  <c r="F63" i="63" s="1"/>
  <c r="F64" i="63" a="1"/>
  <c r="F64" i="63" s="1"/>
  <c r="D65" i="63" a="1"/>
  <c r="D65" i="63" s="1"/>
  <c r="V46" i="61" a="1"/>
  <c r="V46" i="61" s="1"/>
  <c r="W46" i="61" a="1"/>
  <c r="W46" i="61" s="1"/>
  <c r="S40" i="61" a="1"/>
  <c r="S40" i="61" s="1"/>
  <c r="G46" i="61" a="1"/>
  <c r="G46" i="61" s="1"/>
  <c r="AJ46" i="61" a="1"/>
  <c r="AJ46" i="61" s="1"/>
  <c r="U36" i="61" a="1"/>
  <c r="U36" i="61" s="1"/>
  <c r="S28" i="61" a="1"/>
  <c r="S28" i="61" s="1"/>
  <c r="AI26" i="61" a="1"/>
  <c r="AI26" i="61" s="1"/>
  <c r="H49" i="61" a="1"/>
  <c r="H49" i="61" s="1"/>
  <c r="AI38" i="61" a="1"/>
  <c r="AI38" i="61" s="1"/>
  <c r="U37" i="61" a="1"/>
  <c r="U37" i="61" s="1"/>
  <c r="T29" i="61" a="1"/>
  <c r="T29" i="61" s="1"/>
  <c r="AL38" i="61" a="1"/>
  <c r="AL38" i="61" s="1"/>
  <c r="G36" i="61" a="1"/>
  <c r="G36" i="61" s="1"/>
  <c r="AI28" i="61" a="1"/>
  <c r="AI28" i="61" s="1"/>
  <c r="AI46" i="61" a="1"/>
  <c r="AI46" i="61" s="1"/>
  <c r="G28" i="61" a="1"/>
  <c r="G28" i="61" s="1"/>
  <c r="AJ28" i="61" a="1"/>
  <c r="AJ28" i="61" s="1"/>
  <c r="H28" i="61" a="1"/>
  <c r="H28" i="61" s="1"/>
  <c r="G26" i="61" a="1"/>
  <c r="G26" i="61" s="1"/>
  <c r="E40" i="61" a="1"/>
  <c r="E40" i="61" s="1"/>
  <c r="AH38" i="61" a="1"/>
  <c r="AH38" i="61" s="1"/>
  <c r="S37" i="61" a="1"/>
  <c r="S37" i="61" s="1"/>
  <c r="AJ39" i="61" a="1"/>
  <c r="AJ39" i="61" s="1"/>
  <c r="G38" i="61" a="1"/>
  <c r="G38" i="61" s="1"/>
  <c r="T48" i="61" a="1"/>
  <c r="T48" i="61" s="1"/>
  <c r="T40" i="61" a="1"/>
  <c r="T40" i="61" s="1"/>
  <c r="T38" i="61" a="1"/>
  <c r="T38" i="61" s="1"/>
  <c r="T39" i="61" a="1"/>
  <c r="T39" i="61" s="1"/>
  <c r="D38" i="61" a="1"/>
  <c r="D38" i="61" s="1"/>
  <c r="W36" i="61" a="1"/>
  <c r="W36" i="61" s="1"/>
  <c r="AK40" i="61" a="1"/>
  <c r="AK40" i="61" s="1"/>
  <c r="W49" i="61" a="1"/>
  <c r="W49" i="61" s="1"/>
  <c r="E39" i="61" a="1"/>
  <c r="E39" i="61" s="1"/>
  <c r="AH39" i="61" a="1"/>
  <c r="AH39" i="61" s="1"/>
  <c r="AH37" i="61" a="1"/>
  <c r="AH37" i="61" s="1"/>
  <c r="F29" i="61" a="1"/>
  <c r="F29" i="61" s="1"/>
  <c r="AJ29" i="61" a="1"/>
  <c r="AJ29" i="61" s="1"/>
  <c r="AH26" i="61" a="1"/>
  <c r="AH26" i="61" s="1"/>
  <c r="AI49" i="61" a="1"/>
  <c r="AI49" i="61" s="1"/>
  <c r="S39" i="61" a="1"/>
  <c r="S39" i="61" s="1"/>
  <c r="H37" i="61" a="1"/>
  <c r="H37" i="61" s="1"/>
  <c r="U40" i="61" a="1"/>
  <c r="U40" i="61" s="1"/>
  <c r="F40" i="61" a="1"/>
  <c r="F40" i="61" s="1"/>
  <c r="F46" i="61" a="1"/>
  <c r="F46" i="61" s="1"/>
  <c r="G29" i="61" a="1"/>
  <c r="G29" i="61" s="1"/>
  <c r="S49" i="61" a="1"/>
  <c r="S49" i="61" s="1"/>
  <c r="H29" i="61" a="1"/>
  <c r="H29" i="61" s="1"/>
  <c r="F49" i="61" a="1"/>
  <c r="F49" i="61" s="1"/>
  <c r="W38" i="61" a="1"/>
  <c r="W38" i="61" s="1"/>
  <c r="AK46" i="61" a="1"/>
  <c r="AK46" i="61" s="1"/>
  <c r="AK48" i="61" a="1"/>
  <c r="AK48" i="61" s="1"/>
  <c r="AI29" i="61" a="1"/>
  <c r="AI29" i="61" s="1"/>
  <c r="T36" i="61" a="1"/>
  <c r="T36" i="61" s="1"/>
  <c r="H36" i="61" a="1"/>
  <c r="H36" i="61" s="1"/>
  <c r="AH28" i="61" a="1"/>
  <c r="AH28" i="61" s="1"/>
  <c r="W26" i="61" a="1"/>
  <c r="W26" i="61" s="1"/>
  <c r="AL37" i="61" a="1"/>
  <c r="AL37" i="61" s="1"/>
  <c r="W28" i="61" a="1"/>
  <c r="W28" i="61" s="1"/>
  <c r="E29" i="61" a="1"/>
  <c r="E29" i="61" s="1"/>
  <c r="D28" i="61" a="1"/>
  <c r="D28" i="61" s="1"/>
  <c r="E49" i="61" a="1"/>
  <c r="E49" i="61" s="1"/>
  <c r="S48" i="61" a="1"/>
  <c r="S48" i="61" s="1"/>
  <c r="E46" i="61" a="1"/>
  <c r="E46" i="61" s="1"/>
  <c r="V48" i="61" a="1"/>
  <c r="V48" i="61" s="1"/>
  <c r="G48" i="61" a="1"/>
  <c r="G48" i="61" s="1"/>
  <c r="F26" i="61" a="1"/>
  <c r="F26" i="61" s="1"/>
  <c r="W37" i="61" a="1"/>
  <c r="W37" i="61" s="1"/>
  <c r="AK36" i="61" a="1"/>
  <c r="AK36" i="61" s="1"/>
  <c r="AH29" i="61" a="1"/>
  <c r="AH29" i="61" s="1"/>
  <c r="V26" i="61" a="1"/>
  <c r="V26" i="61" s="1"/>
  <c r="V36" i="61" a="1"/>
  <c r="V36" i="61" s="1"/>
  <c r="W48" i="61" a="1"/>
  <c r="W48" i="61" s="1"/>
  <c r="AJ49" i="61" a="1"/>
  <c r="AJ49" i="61" s="1"/>
  <c r="D49" i="61" a="1"/>
  <c r="D49" i="61" s="1"/>
  <c r="H48" i="61" a="1"/>
  <c r="H48" i="61" s="1"/>
  <c r="F28" i="61" a="1"/>
  <c r="F28" i="61" s="1"/>
  <c r="AJ37" i="61" a="1"/>
  <c r="AJ37" i="61" s="1"/>
  <c r="D37" i="61" a="1"/>
  <c r="D37" i="61" s="1"/>
  <c r="V37" i="61" a="1"/>
  <c r="V37" i="61" s="1"/>
  <c r="D29" i="61" a="1"/>
  <c r="D29" i="61" s="1"/>
  <c r="W29" i="61" a="1"/>
  <c r="W29" i="61" s="1"/>
  <c r="AL49" i="61" a="1"/>
  <c r="AL49" i="61" s="1"/>
  <c r="U49" i="61" a="1"/>
  <c r="U49" i="61" s="1"/>
  <c r="AH48" i="61" a="1"/>
  <c r="AH48" i="61" s="1"/>
  <c r="D26" i="61" a="1"/>
  <c r="D26" i="61" s="1"/>
  <c r="AH49" i="61" a="1"/>
  <c r="AH49" i="61" s="1"/>
  <c r="AL48" i="61" a="1"/>
  <c r="AL48" i="61" s="1"/>
  <c r="AI39" i="61" a="1"/>
  <c r="AI39" i="61" s="1"/>
  <c r="G37" i="61" a="1"/>
  <c r="G37" i="61" s="1"/>
  <c r="H38" i="61" a="1"/>
  <c r="H38" i="61" s="1"/>
  <c r="F36" i="61" a="1"/>
  <c r="F36" i="61" s="1"/>
  <c r="AL28" i="61" a="1"/>
  <c r="AL28" i="61" s="1"/>
  <c r="U28" i="61" a="1"/>
  <c r="U28" i="61" s="1"/>
  <c r="T26" i="61" a="1"/>
  <c r="T26" i="61" s="1"/>
  <c r="E26" i="61" a="1"/>
  <c r="E26" i="61" s="1"/>
  <c r="AL26" i="61" a="1"/>
  <c r="AL26" i="61" s="1"/>
  <c r="S26" i="61" a="1"/>
  <c r="S26" i="61" s="1"/>
  <c r="AL39" i="61" a="1"/>
  <c r="AL39" i="61" s="1"/>
  <c r="U26" i="61" a="1"/>
  <c r="U26" i="61" s="1"/>
  <c r="E48" i="61" a="1"/>
  <c r="E48" i="61" s="1"/>
  <c r="AI40" i="61" a="1"/>
  <c r="AI40" i="61" s="1"/>
  <c r="F39" i="61" a="1"/>
  <c r="F39" i="61" s="1"/>
  <c r="S38" i="61" a="1"/>
  <c r="S38" i="61" s="1"/>
  <c r="AK38" i="61" a="1"/>
  <c r="AK38" i="61" s="1"/>
  <c r="V29" i="61" a="1"/>
  <c r="V29" i="61" s="1"/>
  <c r="T28" i="61" a="1"/>
  <c r="T28" i="61" s="1"/>
  <c r="E28" i="61" a="1"/>
  <c r="E28" i="61" s="1"/>
  <c r="V38" i="61" a="1"/>
  <c r="V38" i="61" s="1"/>
  <c r="AI48" i="61" a="1"/>
  <c r="AI48" i="61" s="1"/>
  <c r="U46" i="61" a="1"/>
  <c r="U46" i="61" s="1"/>
  <c r="AH40" i="61" a="1"/>
  <c r="AH40" i="61" s="1"/>
  <c r="D39" i="61" a="1"/>
  <c r="D39" i="61" s="1"/>
  <c r="W39" i="61" a="1"/>
  <c r="W39" i="61" s="1"/>
  <c r="AJ36" i="61" a="1"/>
  <c r="AJ36" i="61" s="1"/>
  <c r="U29" i="61" a="1"/>
  <c r="U29" i="61" s="1"/>
  <c r="AJ26" i="61" a="1"/>
  <c r="AJ26" i="61" s="1"/>
  <c r="AK26" i="61" a="1"/>
  <c r="AK26" i="61" s="1"/>
  <c r="T49" i="61" a="1"/>
  <c r="T49" i="61" s="1"/>
  <c r="AL46" i="61" a="1"/>
  <c r="AL46" i="61" s="1"/>
  <c r="D48" i="61" a="1"/>
  <c r="D48" i="61" s="1"/>
  <c r="T46" i="61" a="1"/>
  <c r="T46" i="61" s="1"/>
  <c r="D40" i="61" a="1"/>
  <c r="D40" i="61" s="1"/>
  <c r="G40" i="61" a="1"/>
  <c r="G40" i="61" s="1"/>
  <c r="U39" i="61" a="1"/>
  <c r="U39" i="61" s="1"/>
  <c r="AI36" i="61" a="1"/>
  <c r="AI36" i="61" s="1"/>
  <c r="AK28" i="61" a="1"/>
  <c r="AK28" i="61" s="1"/>
  <c r="AK37" i="61" a="1"/>
  <c r="AK37" i="61" s="1"/>
  <c r="H26" i="61" a="1"/>
  <c r="H26" i="61" s="1"/>
  <c r="AL29" i="61" a="1"/>
  <c r="AL29" i="61" s="1"/>
  <c r="V28" i="61" a="1"/>
  <c r="V28" i="61" s="1"/>
  <c r="S29" i="61" a="1"/>
  <c r="S29" i="61" s="1"/>
  <c r="H46" i="61" a="1"/>
  <c r="H46" i="61" s="1"/>
  <c r="V40" i="61" a="1"/>
  <c r="V40" i="61" s="1"/>
  <c r="H39" i="61" a="1"/>
  <c r="H39" i="61" s="1"/>
  <c r="AJ40" i="61" a="1"/>
  <c r="AJ40" i="61" s="1"/>
  <c r="E38" i="61" a="1"/>
  <c r="E38" i="61" s="1"/>
  <c r="E36" i="61" a="1"/>
  <c r="E36" i="61" s="1"/>
  <c r="AL36" i="61" a="1"/>
  <c r="AL36" i="61" s="1"/>
  <c r="AK29" i="61" a="1"/>
  <c r="AK29" i="61" s="1"/>
  <c r="F37" i="61" a="1"/>
  <c r="F37" i="61" s="1"/>
  <c r="T38" i="64" a="1"/>
  <c r="T38" i="64" s="1"/>
  <c r="G40" i="64" a="1"/>
  <c r="G40" i="64" s="1"/>
  <c r="S28" i="64" a="1"/>
  <c r="S28" i="64" s="1"/>
  <c r="H36" i="64" a="1"/>
  <c r="H36" i="64" s="1"/>
  <c r="V29" i="64" a="1"/>
  <c r="V29" i="64" s="1"/>
  <c r="V38" i="64" a="1"/>
  <c r="V38" i="64" s="1"/>
  <c r="V36" i="64" a="1"/>
  <c r="V36" i="64" s="1"/>
  <c r="S26" i="64" a="1"/>
  <c r="S26" i="64" s="1"/>
  <c r="S49" i="64" a="1"/>
  <c r="S49" i="64" s="1"/>
  <c r="E46" i="64" a="1"/>
  <c r="E46" i="64" s="1"/>
  <c r="AL46" i="64" a="1"/>
  <c r="AL46" i="64" s="1"/>
  <c r="G38" i="64" a="1"/>
  <c r="G38" i="64" s="1"/>
  <c r="S40" i="64" a="1"/>
  <c r="S40" i="64" s="1"/>
  <c r="U40" i="64" a="1"/>
  <c r="U40" i="64" s="1"/>
  <c r="AI28" i="64" a="1"/>
  <c r="AI28" i="64" s="1"/>
  <c r="U36" i="64" a="1"/>
  <c r="U36" i="64" s="1"/>
  <c r="AL49" i="64" a="1"/>
  <c r="AL49" i="64" s="1"/>
  <c r="E48" i="64" a="1"/>
  <c r="E48" i="64" s="1"/>
  <c r="E49" i="64" a="1"/>
  <c r="E49" i="64" s="1"/>
  <c r="AI40" i="64" a="1"/>
  <c r="AI40" i="64" s="1"/>
  <c r="F37" i="64" a="1"/>
  <c r="F37" i="64" s="1"/>
  <c r="S39" i="64" a="1"/>
  <c r="S39" i="64" s="1"/>
  <c r="D26" i="64" a="1"/>
  <c r="D26" i="64" s="1"/>
  <c r="AJ26" i="64" a="1"/>
  <c r="AJ26" i="64" s="1"/>
  <c r="D38" i="64" a="1"/>
  <c r="D38" i="64" s="1"/>
  <c r="F28" i="64" a="1"/>
  <c r="F28" i="64" s="1"/>
  <c r="H46" i="64" a="1"/>
  <c r="H46" i="64" s="1"/>
  <c r="G26" i="64" a="1"/>
  <c r="G26" i="64" s="1"/>
  <c r="AJ46" i="64" a="1"/>
  <c r="AJ46" i="64" s="1"/>
  <c r="AH38" i="64" a="1"/>
  <c r="AH38" i="64" s="1"/>
  <c r="AK38" i="64" a="1"/>
  <c r="AK38" i="64" s="1"/>
  <c r="G37" i="64" a="1"/>
  <c r="G37" i="64" s="1"/>
  <c r="D48" i="64" a="1"/>
  <c r="D48" i="64" s="1"/>
  <c r="AJ39" i="64" a="1"/>
  <c r="AJ39" i="64" s="1"/>
  <c r="H29" i="64" a="1"/>
  <c r="H29" i="64" s="1"/>
  <c r="E28" i="64" a="1"/>
  <c r="E28" i="64" s="1"/>
  <c r="D29" i="64" a="1"/>
  <c r="D29" i="64" s="1"/>
  <c r="F26" i="64" a="1"/>
  <c r="F26" i="64" s="1"/>
  <c r="AH40" i="64" a="1"/>
  <c r="AH40" i="64" s="1"/>
  <c r="AH48" i="64" a="1"/>
  <c r="AH48" i="64" s="1"/>
  <c r="W48" i="64" a="1"/>
  <c r="W48" i="64" s="1"/>
  <c r="G36" i="64" a="1"/>
  <c r="G36" i="64" s="1"/>
  <c r="AL36" i="64" a="1"/>
  <c r="AL36" i="64" s="1"/>
  <c r="U28" i="64" a="1"/>
  <c r="U28" i="64" s="1"/>
  <c r="H26" i="64" a="1"/>
  <c r="H26" i="64" s="1"/>
  <c r="H49" i="64" a="1"/>
  <c r="H49" i="64" s="1"/>
  <c r="AL48" i="64" a="1"/>
  <c r="AL48" i="64" s="1"/>
  <c r="AH26" i="64" a="1"/>
  <c r="AH26" i="64" s="1"/>
  <c r="V26" i="64" a="1"/>
  <c r="V26" i="64" s="1"/>
  <c r="H37" i="64" a="1"/>
  <c r="H37" i="64" s="1"/>
  <c r="S29" i="64" a="1"/>
  <c r="S29" i="64" s="1"/>
  <c r="T46" i="64" a="1"/>
  <c r="T46" i="64" s="1"/>
  <c r="AH37" i="64" a="1"/>
  <c r="AH37" i="64" s="1"/>
  <c r="V37" i="64" a="1"/>
  <c r="V37" i="64" s="1"/>
  <c r="AL29" i="64" a="1"/>
  <c r="AL29" i="64" s="1"/>
  <c r="D40" i="64" a="1"/>
  <c r="D40" i="64" s="1"/>
  <c r="W37" i="64" a="1"/>
  <c r="W37" i="64" s="1"/>
  <c r="AI48" i="64" a="1"/>
  <c r="AI48" i="64" s="1"/>
  <c r="AH28" i="64" a="1"/>
  <c r="AH28" i="64" s="1"/>
  <c r="F29" i="64" a="1"/>
  <c r="F29" i="64" s="1"/>
  <c r="H28" i="64" a="1"/>
  <c r="H28" i="64" s="1"/>
  <c r="AH49" i="64" a="1"/>
  <c r="AH49" i="64" s="1"/>
  <c r="AH39" i="64" a="1"/>
  <c r="AH39" i="64" s="1"/>
  <c r="AL39" i="64" a="1"/>
  <c r="AL39" i="64" s="1"/>
  <c r="AK29" i="64" a="1"/>
  <c r="AK29" i="64" s="1"/>
  <c r="F46" i="64" a="1"/>
  <c r="F46" i="64" s="1"/>
  <c r="AI39" i="64" a="1"/>
  <c r="AI39" i="64" s="1"/>
  <c r="AI29" i="64" a="1"/>
  <c r="AI29" i="64" s="1"/>
  <c r="AJ36" i="64" a="1"/>
  <c r="AJ36" i="64" s="1"/>
  <c r="AL26" i="64" a="1"/>
  <c r="AL26" i="64" s="1"/>
  <c r="AK46" i="64" a="1"/>
  <c r="AK46" i="64" s="1"/>
  <c r="W46" i="64" a="1"/>
  <c r="W46" i="64" s="1"/>
  <c r="E36" i="64" a="1"/>
  <c r="E36" i="64" s="1"/>
  <c r="V48" i="64" a="1"/>
  <c r="V48" i="64" s="1"/>
  <c r="AK37" i="64" a="1"/>
  <c r="AK37" i="64" s="1"/>
  <c r="AK26" i="64" a="1"/>
  <c r="AK26" i="64" s="1"/>
  <c r="AL28" i="64" a="1"/>
  <c r="AL28" i="64" s="1"/>
  <c r="U26" i="64" a="1"/>
  <c r="U26" i="64" s="1"/>
  <c r="G46" i="64" a="1"/>
  <c r="G46" i="64" s="1"/>
  <c r="D37" i="64" a="1"/>
  <c r="D37" i="64" s="1"/>
  <c r="AI38" i="64" a="1"/>
  <c r="AI38" i="64" s="1"/>
  <c r="AK40" i="64" a="1"/>
  <c r="AK40" i="64" s="1"/>
  <c r="W36" i="64" a="1"/>
  <c r="W36" i="64" s="1"/>
  <c r="AL38" i="64" a="1"/>
  <c r="AL38" i="64" s="1"/>
  <c r="T29" i="64" a="1"/>
  <c r="T29" i="64" s="1"/>
  <c r="W26" i="64" a="1"/>
  <c r="W26" i="64" s="1"/>
  <c r="G29" i="64" a="1"/>
  <c r="G29" i="64" s="1"/>
  <c r="U37" i="64" a="1"/>
  <c r="U37" i="64" s="1"/>
  <c r="E26" i="64" a="1"/>
  <c r="E26" i="64" s="1"/>
  <c r="G28" i="64" a="1"/>
  <c r="G28" i="64" s="1"/>
  <c r="H48" i="64" a="1"/>
  <c r="H48" i="64" s="1"/>
  <c r="E40" i="64" a="1"/>
  <c r="E40" i="64" s="1"/>
  <c r="AJ37" i="64" a="1"/>
  <c r="AJ37" i="64" s="1"/>
  <c r="F49" i="64" a="1"/>
  <c r="F49" i="64" s="1"/>
  <c r="T39" i="64" a="1"/>
  <c r="T39" i="64" s="1"/>
  <c r="W39" i="64" a="1"/>
  <c r="W39" i="64" s="1"/>
  <c r="W29" i="64" a="1"/>
  <c r="W29" i="64" s="1"/>
  <c r="F36" i="64" a="1"/>
  <c r="F36" i="64" s="1"/>
  <c r="AJ29" i="64" a="1"/>
  <c r="AJ29" i="64" s="1"/>
  <c r="U49" i="64" a="1"/>
  <c r="U49" i="64" s="1"/>
  <c r="V46" i="64" a="1"/>
  <c r="V46" i="64" s="1"/>
  <c r="T48" i="64" a="1"/>
  <c r="T48" i="64" s="1"/>
  <c r="T28" i="64" a="1"/>
  <c r="T28" i="64" s="1"/>
  <c r="AL37" i="64" a="1"/>
  <c r="AL37" i="64" s="1"/>
  <c r="H38" i="64" a="1"/>
  <c r="H38" i="64" s="1"/>
  <c r="AJ49" i="64" a="1"/>
  <c r="AJ49" i="64" s="1"/>
  <c r="AJ28" i="64" a="1"/>
  <c r="AJ28" i="64" s="1"/>
  <c r="V28" i="64" a="1"/>
  <c r="V28" i="64" s="1"/>
  <c r="AH29" i="64" a="1"/>
  <c r="AH29" i="64" s="1"/>
  <c r="T49" i="64" a="1"/>
  <c r="T49" i="64" s="1"/>
  <c r="G48" i="64" a="1"/>
  <c r="G48" i="64" s="1"/>
  <c r="W38" i="64" a="1"/>
  <c r="W38" i="64" s="1"/>
  <c r="E29" i="64" a="1"/>
  <c r="E29" i="64" s="1"/>
  <c r="AK36" i="64" a="1"/>
  <c r="AK36" i="64" s="1"/>
  <c r="T36" i="64" a="1"/>
  <c r="T36" i="64" s="1"/>
  <c r="S38" i="64" a="1"/>
  <c r="S38" i="64" s="1"/>
  <c r="D28" i="64" a="1"/>
  <c r="D28" i="64" s="1"/>
  <c r="AI26" i="64" a="1"/>
  <c r="AI26" i="64" s="1"/>
  <c r="AK28" i="64" a="1"/>
  <c r="AK28" i="64" s="1"/>
  <c r="D49" i="64" a="1"/>
  <c r="D49" i="64" s="1"/>
  <c r="H39" i="64" a="1"/>
  <c r="H39" i="64" s="1"/>
  <c r="T40" i="64" a="1"/>
  <c r="T40" i="64" s="1"/>
  <c r="U46" i="64" a="1"/>
  <c r="U46" i="64" s="1"/>
  <c r="AK48" i="64" a="1"/>
  <c r="AK48" i="64" s="1"/>
  <c r="U29" i="64" a="1"/>
  <c r="U29" i="64" s="1"/>
  <c r="S37" i="64" a="1"/>
  <c r="S37" i="64" s="1"/>
  <c r="W49" i="64" a="1"/>
  <c r="W49" i="64" s="1"/>
  <c r="AI36" i="64" a="1"/>
  <c r="AI36" i="64" s="1"/>
  <c r="T26" i="64" a="1"/>
  <c r="T26" i="64" s="1"/>
  <c r="V40" i="64" a="1"/>
  <c r="V40" i="64" s="1"/>
  <c r="AI46" i="64" a="1"/>
  <c r="AI46" i="64" s="1"/>
  <c r="D39" i="64" a="1"/>
  <c r="D39" i="64" s="1"/>
  <c r="W28" i="64" a="1"/>
  <c r="W28" i="64" s="1"/>
  <c r="AI49" i="64" a="1"/>
  <c r="AI49" i="64" s="1"/>
  <c r="U39" i="64" a="1"/>
  <c r="U39" i="64" s="1"/>
  <c r="S48" i="64" a="1"/>
  <c r="S48" i="64" s="1"/>
  <c r="F40" i="64" a="1"/>
  <c r="F40" i="64" s="1"/>
  <c r="F39" i="64" a="1"/>
  <c r="F39" i="64" s="1"/>
  <c r="E39" i="64" a="1"/>
  <c r="E39" i="64" s="1"/>
  <c r="AJ40" i="64" a="1"/>
  <c r="AJ40" i="64" s="1"/>
  <c r="E38" i="64" a="1"/>
  <c r="E38" i="64" s="1"/>
  <c r="H28" i="58" a="1"/>
  <c r="H28" i="58" s="1"/>
  <c r="AL37" i="58" a="1"/>
  <c r="AL37" i="58" s="1"/>
  <c r="H26" i="58" a="1"/>
  <c r="H26" i="58" s="1"/>
  <c r="H39" i="58" a="1"/>
  <c r="H39" i="58" s="1"/>
  <c r="W28" i="58" a="1"/>
  <c r="W28" i="58" s="1"/>
  <c r="AJ40" i="58" a="1"/>
  <c r="AJ40" i="58" s="1"/>
  <c r="E29" i="58" a="1"/>
  <c r="E29" i="58" s="1"/>
  <c r="F46" i="58" a="1"/>
  <c r="F46" i="58" s="1"/>
  <c r="AI36" i="58" a="1"/>
  <c r="AI36" i="58" s="1"/>
  <c r="D26" i="58" a="1"/>
  <c r="D26" i="58" s="1"/>
  <c r="AL36" i="58" a="1"/>
  <c r="AL36" i="58" s="1"/>
  <c r="AI40" i="58" a="1"/>
  <c r="AI40" i="58" s="1"/>
  <c r="S29" i="58" a="1"/>
  <c r="S29" i="58" s="1"/>
  <c r="AL39" i="58" a="1"/>
  <c r="AL39" i="58" s="1"/>
  <c r="AJ26" i="58" a="1"/>
  <c r="AJ26" i="58" s="1"/>
  <c r="AL46" i="58" a="1"/>
  <c r="AL46" i="58" s="1"/>
  <c r="AJ29" i="58" a="1"/>
  <c r="AJ29" i="58" s="1"/>
  <c r="AH38" i="58" a="1"/>
  <c r="AH38" i="58" s="1"/>
  <c r="H36" i="58" a="1"/>
  <c r="H36" i="58" s="1"/>
  <c r="S48" i="58" a="1"/>
  <c r="S48" i="58" s="1"/>
  <c r="U46" i="58" a="1"/>
  <c r="U46" i="58" s="1"/>
  <c r="G28" i="58" a="1"/>
  <c r="G28" i="58" s="1"/>
  <c r="T39" i="58" a="1"/>
  <c r="T39" i="58" s="1"/>
  <c r="AL48" i="58" a="1"/>
  <c r="AL48" i="58" s="1"/>
  <c r="AK29" i="58" a="1"/>
  <c r="AK29" i="58" s="1"/>
  <c r="W48" i="58" a="1"/>
  <c r="W48" i="58" s="1"/>
  <c r="AK28" i="58" a="1"/>
  <c r="AK28" i="58" s="1"/>
  <c r="AL49" i="58" a="1"/>
  <c r="AL49" i="58" s="1"/>
  <c r="F37" i="58" a="1"/>
  <c r="F37" i="58" s="1"/>
  <c r="V26" i="58" a="1"/>
  <c r="V26" i="58" s="1"/>
  <c r="W37" i="58" a="1"/>
  <c r="W37" i="58" s="1"/>
  <c r="E48" i="58" a="1"/>
  <c r="E48" i="58" s="1"/>
  <c r="T48" i="58" a="1"/>
  <c r="T48" i="58" s="1"/>
  <c r="AK36" i="58" a="1"/>
  <c r="AK36" i="58" s="1"/>
  <c r="T40" i="58" a="1"/>
  <c r="T40" i="58" s="1"/>
  <c r="G37" i="58" a="1"/>
  <c r="G37" i="58" s="1"/>
  <c r="S26" i="58" a="1"/>
  <c r="S26" i="58" s="1"/>
  <c r="AL29" i="58" a="1"/>
  <c r="AL29" i="58" s="1"/>
  <c r="T28" i="58" a="1"/>
  <c r="T28" i="58" s="1"/>
  <c r="S38" i="58" a="1"/>
  <c r="S38" i="58" s="1"/>
  <c r="AI28" i="58" a="1"/>
  <c r="AI28" i="58" s="1"/>
  <c r="AK38" i="58" a="1"/>
  <c r="AK38" i="58" s="1"/>
  <c r="U36" i="58" a="1"/>
  <c r="U36" i="58" s="1"/>
  <c r="W49" i="58" a="1"/>
  <c r="W49" i="58" s="1"/>
  <c r="G38" i="58" a="1"/>
  <c r="G38" i="58" s="1"/>
  <c r="W46" i="58" a="1"/>
  <c r="W46" i="58" s="1"/>
  <c r="AK37" i="58" a="1"/>
  <c r="AK37" i="58" s="1"/>
  <c r="AK26" i="58" a="1"/>
  <c r="AK26" i="58" s="1"/>
  <c r="W38" i="58" a="1"/>
  <c r="W38" i="58" s="1"/>
  <c r="E36" i="58" a="1"/>
  <c r="E36" i="58" s="1"/>
  <c r="U39" i="58" a="1"/>
  <c r="U39" i="58" s="1"/>
  <c r="F36" i="58" a="1"/>
  <c r="F36" i="58" s="1"/>
  <c r="T49" i="58" a="1"/>
  <c r="T49" i="58" s="1"/>
  <c r="AJ37" i="58" a="1"/>
  <c r="AJ37" i="58" s="1"/>
  <c r="E39" i="58" a="1"/>
  <c r="E39" i="58" s="1"/>
  <c r="S39" i="58" a="1"/>
  <c r="S39" i="58" s="1"/>
  <c r="AK48" i="58" a="1"/>
  <c r="AK48" i="58" s="1"/>
  <c r="W26" i="58" a="1"/>
  <c r="W26" i="58" s="1"/>
  <c r="F39" i="58" a="1"/>
  <c r="F39" i="58" s="1"/>
  <c r="U29" i="58" a="1"/>
  <c r="U29" i="58" s="1"/>
  <c r="V40" i="58" a="1"/>
  <c r="V40" i="58" s="1"/>
  <c r="D38" i="58" a="1"/>
  <c r="D38" i="58" s="1"/>
  <c r="AJ46" i="58" a="1"/>
  <c r="AJ46" i="58" s="1"/>
  <c r="U37" i="58" a="1"/>
  <c r="U37" i="58" s="1"/>
  <c r="E40" i="58" a="1"/>
  <c r="E40" i="58" s="1"/>
  <c r="AL38" i="58" a="1"/>
  <c r="AL38" i="58" s="1"/>
  <c r="AH48" i="58" a="1"/>
  <c r="AH48" i="58" s="1"/>
  <c r="S40" i="58" a="1"/>
  <c r="S40" i="58" s="1"/>
  <c r="AH39" i="58" a="1"/>
  <c r="AH39" i="58" s="1"/>
  <c r="G29" i="58" a="1"/>
  <c r="G29" i="58" s="1"/>
  <c r="AJ39" i="58" a="1"/>
  <c r="AJ39" i="58" s="1"/>
  <c r="G26" i="58" a="1"/>
  <c r="G26" i="58" s="1"/>
  <c r="H46" i="58" a="1"/>
  <c r="H46" i="58" s="1"/>
  <c r="D40" i="58" a="1"/>
  <c r="D40" i="58" s="1"/>
  <c r="AK40" i="58" a="1"/>
  <c r="AK40" i="58" s="1"/>
  <c r="G48" i="58" a="1"/>
  <c r="G48" i="58" s="1"/>
  <c r="H48" i="58" a="1"/>
  <c r="H48" i="58" s="1"/>
  <c r="F40" i="58" a="1"/>
  <c r="F40" i="58" s="1"/>
  <c r="S49" i="58" a="1"/>
  <c r="S49" i="58" s="1"/>
  <c r="V46" i="58" a="1"/>
  <c r="V46" i="58" s="1"/>
  <c r="F26" i="58" a="1"/>
  <c r="F26" i="58" s="1"/>
  <c r="D37" i="58" a="1"/>
  <c r="D37" i="58" s="1"/>
  <c r="G46" i="58" a="1"/>
  <c r="G46" i="58" s="1"/>
  <c r="AJ28" i="58" a="1"/>
  <c r="AJ28" i="58" s="1"/>
  <c r="H49" i="58" a="1"/>
  <c r="H49" i="58" s="1"/>
  <c r="D48" i="58" a="1"/>
  <c r="D48" i="58" s="1"/>
  <c r="U26" i="58" a="1"/>
  <c r="U26" i="58" s="1"/>
  <c r="D29" i="58" a="1"/>
  <c r="D29" i="58" s="1"/>
  <c r="AH49" i="58" a="1"/>
  <c r="AH49" i="58" s="1"/>
  <c r="T46" i="58" a="1"/>
  <c r="T46" i="58" s="1"/>
  <c r="F28" i="58" a="1"/>
  <c r="F28" i="58" s="1"/>
  <c r="AI48" i="58" a="1"/>
  <c r="AI48" i="58" s="1"/>
  <c r="V28" i="58" a="1"/>
  <c r="V28" i="58" s="1"/>
  <c r="D39" i="58" a="1"/>
  <c r="D39" i="58" s="1"/>
  <c r="AK46" i="58" a="1"/>
  <c r="AK46" i="58" s="1"/>
  <c r="V36" i="58" a="1"/>
  <c r="V36" i="58" s="1"/>
  <c r="AL28" i="58" a="1"/>
  <c r="AL28" i="58" s="1"/>
  <c r="D28" i="58" a="1"/>
  <c r="D28" i="58" s="1"/>
  <c r="AH28" i="58" a="1"/>
  <c r="AH28" i="58" s="1"/>
  <c r="G36" i="58" a="1"/>
  <c r="G36" i="58" s="1"/>
  <c r="AL26" i="58" a="1"/>
  <c r="AL26" i="58" s="1"/>
  <c r="U49" i="58" a="1"/>
  <c r="U49" i="58" s="1"/>
  <c r="V29" i="58" a="1"/>
  <c r="V29" i="58" s="1"/>
  <c r="E49" i="58" a="1"/>
  <c r="E49" i="58" s="1"/>
  <c r="AI29" i="58" a="1"/>
  <c r="AI29" i="58" s="1"/>
  <c r="E46" i="58" a="1"/>
  <c r="E46" i="58" s="1"/>
  <c r="F49" i="58" a="1"/>
  <c r="F49" i="58" s="1"/>
  <c r="V38" i="58" a="1"/>
  <c r="V38" i="58" s="1"/>
  <c r="S28" i="58" a="1"/>
  <c r="S28" i="58" s="1"/>
  <c r="W29" i="58" a="1"/>
  <c r="W29" i="58" s="1"/>
  <c r="S37" i="58" a="1"/>
  <c r="S37" i="58" s="1"/>
  <c r="AI38" i="58" a="1"/>
  <c r="AI38" i="58" s="1"/>
  <c r="F29" i="58" a="1"/>
  <c r="F29" i="58" s="1"/>
  <c r="AI49" i="58" a="1"/>
  <c r="AI49" i="58" s="1"/>
  <c r="AJ36" i="58" a="1"/>
  <c r="AJ36" i="58" s="1"/>
  <c r="E26" i="58" a="1"/>
  <c r="E26" i="58" s="1"/>
  <c r="H38" i="58" a="1"/>
  <c r="H38" i="58" s="1"/>
  <c r="D49" i="58" a="1"/>
  <c r="D49" i="58" s="1"/>
  <c r="AJ49" i="58" a="1"/>
  <c r="AJ49" i="58" s="1"/>
  <c r="U40" i="58" a="1"/>
  <c r="U40" i="58" s="1"/>
  <c r="T29" i="58" a="1"/>
  <c r="T29" i="58" s="1"/>
  <c r="V37" i="58" a="1"/>
  <c r="V37" i="58" s="1"/>
  <c r="T38" i="58" a="1"/>
  <c r="T38" i="58" s="1"/>
  <c r="AI39" i="58" a="1"/>
  <c r="AI39" i="58" s="1"/>
  <c r="T36" i="58" a="1"/>
  <c r="T36" i="58" s="1"/>
  <c r="E28" i="58" a="1"/>
  <c r="E28" i="58" s="1"/>
  <c r="E38" i="58" a="1"/>
  <c r="E38" i="58" s="1"/>
  <c r="U28" i="58" a="1"/>
  <c r="U28" i="58" s="1"/>
  <c r="AH40" i="58" a="1"/>
  <c r="AH40" i="58" s="1"/>
  <c r="AI26" i="58" a="1"/>
  <c r="AI26" i="58" s="1"/>
  <c r="W36" i="58" a="1"/>
  <c r="W36" i="58" s="1"/>
  <c r="V48" i="58" a="1"/>
  <c r="V48" i="58" s="1"/>
  <c r="H37" i="58" a="1"/>
  <c r="H37" i="58" s="1"/>
  <c r="T26" i="58" a="1"/>
  <c r="T26" i="58" s="1"/>
  <c r="W39" i="58" a="1"/>
  <c r="W39" i="58" s="1"/>
  <c r="AH26" i="58" a="1"/>
  <c r="AH26" i="58" s="1"/>
  <c r="AH37" i="58" a="1"/>
  <c r="AH37" i="58" s="1"/>
  <c r="H29" i="58" a="1"/>
  <c r="H29" i="58" s="1"/>
  <c r="G40" i="58" a="1"/>
  <c r="G40" i="58" s="1"/>
  <c r="AH29" i="58" a="1"/>
  <c r="AH29" i="58" s="1"/>
  <c r="AI46" i="58" a="1"/>
  <c r="AI46" i="58" s="1"/>
  <c r="F28" i="63" a="1"/>
  <c r="F28" i="63" s="1"/>
  <c r="F37" i="63" a="1"/>
  <c r="F37" i="63" s="1"/>
  <c r="D39" i="63" a="1"/>
  <c r="D39" i="63" s="1"/>
  <c r="AK40" i="63" a="1"/>
  <c r="AK40" i="63" s="1"/>
  <c r="AK46" i="63" a="1"/>
  <c r="AK46" i="63" s="1"/>
  <c r="S26" i="63" a="1"/>
  <c r="S26" i="63" s="1"/>
  <c r="AJ49" i="63" a="1"/>
  <c r="AJ49" i="63" s="1"/>
  <c r="AK36" i="63" a="1"/>
  <c r="AK36" i="63" s="1"/>
  <c r="AJ37" i="63" a="1"/>
  <c r="AJ37" i="63" s="1"/>
  <c r="U40" i="63" a="1"/>
  <c r="U40" i="63" s="1"/>
  <c r="AJ26" i="63" a="1"/>
  <c r="AJ26" i="63" s="1"/>
  <c r="AI36" i="63" a="1"/>
  <c r="AI36" i="63" s="1"/>
  <c r="AL38" i="63" a="1"/>
  <c r="AL38" i="63" s="1"/>
  <c r="AL39" i="63" a="1"/>
  <c r="AL39" i="63" s="1"/>
  <c r="AI48" i="63" a="1"/>
  <c r="AI48" i="63" s="1"/>
  <c r="AK48" i="63" a="1"/>
  <c r="AK48" i="63" s="1"/>
  <c r="G28" i="63" a="1"/>
  <c r="G28" i="63" s="1"/>
  <c r="T26" i="63" a="1"/>
  <c r="T26" i="63" s="1"/>
  <c r="W37" i="63" a="1"/>
  <c r="W37" i="63" s="1"/>
  <c r="AH38" i="63" a="1"/>
  <c r="AH38" i="63" s="1"/>
  <c r="U46" i="63" a="1"/>
  <c r="U46" i="63" s="1"/>
  <c r="W28" i="63" a="1"/>
  <c r="W28" i="63" s="1"/>
  <c r="AH39" i="63" a="1"/>
  <c r="AH39" i="63" s="1"/>
  <c r="AI40" i="63" a="1"/>
  <c r="AI40" i="63" s="1"/>
  <c r="AJ40" i="63" a="1"/>
  <c r="AJ40" i="63" s="1"/>
  <c r="G26" i="63" a="1"/>
  <c r="G26" i="63" s="1"/>
  <c r="W49" i="63" a="1"/>
  <c r="W49" i="63" s="1"/>
  <c r="D29" i="63" a="1"/>
  <c r="D29" i="63" s="1"/>
  <c r="H28" i="63" a="1"/>
  <c r="H28" i="63" s="1"/>
  <c r="W38" i="63" a="1"/>
  <c r="W38" i="63" s="1"/>
  <c r="U39" i="63" a="1"/>
  <c r="U39" i="63" s="1"/>
  <c r="S48" i="63" a="1"/>
  <c r="S48" i="63" s="1"/>
  <c r="T29" i="63" a="1"/>
  <c r="T29" i="63" s="1"/>
  <c r="S29" i="63" a="1"/>
  <c r="S29" i="63" s="1"/>
  <c r="AH48" i="63" a="1"/>
  <c r="AH48" i="63" s="1"/>
  <c r="AI46" i="63" a="1"/>
  <c r="AI46" i="63" s="1"/>
  <c r="AJ46" i="63" a="1"/>
  <c r="AJ46" i="63" s="1"/>
  <c r="D28" i="63" a="1"/>
  <c r="D28" i="63" s="1"/>
  <c r="H26" i="63" a="1"/>
  <c r="H26" i="63" s="1"/>
  <c r="AJ29" i="63" a="1"/>
  <c r="AJ29" i="63" s="1"/>
  <c r="E29" i="63" a="1"/>
  <c r="E29" i="63" s="1"/>
  <c r="T39" i="63" a="1"/>
  <c r="T39" i="63" s="1"/>
  <c r="T46" i="63" a="1"/>
  <c r="T46" i="63" s="1"/>
  <c r="H49" i="63" a="1"/>
  <c r="H49" i="63" s="1"/>
  <c r="H36" i="63" a="1"/>
  <c r="H36" i="63" s="1"/>
  <c r="AL28" i="63" a="1"/>
  <c r="AL28" i="63" s="1"/>
  <c r="AL49" i="63" a="1"/>
  <c r="AL49" i="63" s="1"/>
  <c r="V48" i="63" a="1"/>
  <c r="V48" i="63" s="1"/>
  <c r="W48" i="63" a="1"/>
  <c r="W48" i="63" s="1"/>
  <c r="AJ28" i="63" a="1"/>
  <c r="AJ28" i="63" s="1"/>
  <c r="E28" i="63" a="1"/>
  <c r="E28" i="63" s="1"/>
  <c r="W36" i="63" a="1"/>
  <c r="W36" i="63" s="1"/>
  <c r="AJ36" i="63" a="1"/>
  <c r="AJ36" i="63" s="1"/>
  <c r="T40" i="63" a="1"/>
  <c r="T40" i="63" s="1"/>
  <c r="E49" i="63" a="1"/>
  <c r="E49" i="63" s="1"/>
  <c r="AH26" i="63" a="1"/>
  <c r="AH26" i="63" s="1"/>
  <c r="D37" i="63" a="1"/>
  <c r="D37" i="63" s="1"/>
  <c r="AL36" i="63" a="1"/>
  <c r="AL36" i="63" s="1"/>
  <c r="T49" i="63" a="1"/>
  <c r="T49" i="63" s="1"/>
  <c r="AH37" i="63" a="1"/>
  <c r="AH37" i="63" s="1"/>
  <c r="AI26" i="63" a="1"/>
  <c r="AI26" i="63" s="1"/>
  <c r="E26" i="63" a="1"/>
  <c r="E26" i="63" s="1"/>
  <c r="U49" i="63" a="1"/>
  <c r="U49" i="63" s="1"/>
  <c r="AH29" i="63" a="1"/>
  <c r="AH29" i="63" s="1"/>
  <c r="AK28" i="63" a="1"/>
  <c r="AK28" i="63" s="1"/>
  <c r="V37" i="63" a="1"/>
  <c r="V37" i="63" s="1"/>
  <c r="V38" i="63" a="1"/>
  <c r="V38" i="63" s="1"/>
  <c r="H46" i="63" a="1"/>
  <c r="H46" i="63" s="1"/>
  <c r="W26" i="63" a="1"/>
  <c r="W26" i="63" s="1"/>
  <c r="U28" i="63" a="1"/>
  <c r="U28" i="63" s="1"/>
  <c r="D38" i="63" a="1"/>
  <c r="D38" i="63" s="1"/>
  <c r="W29" i="63" a="1"/>
  <c r="W29" i="63" s="1"/>
  <c r="V40" i="63" a="1"/>
  <c r="V40" i="63" s="1"/>
  <c r="AK29" i="63" a="1"/>
  <c r="AK29" i="63" s="1"/>
  <c r="AH40" i="63" a="1"/>
  <c r="AH40" i="63" s="1"/>
  <c r="G36" i="63" a="1"/>
  <c r="G36" i="63" s="1"/>
  <c r="AK26" i="63" a="1"/>
  <c r="AK26" i="63" s="1"/>
  <c r="F26" i="63" a="1"/>
  <c r="F26" i="63" s="1"/>
  <c r="U36" i="63" a="1"/>
  <c r="U36" i="63" s="1"/>
  <c r="AI29" i="63" a="1"/>
  <c r="AI29" i="63" s="1"/>
  <c r="T38" i="63" a="1"/>
  <c r="T38" i="63" s="1"/>
  <c r="S40" i="63" a="1"/>
  <c r="S40" i="63" s="1"/>
  <c r="H48" i="63" a="1"/>
  <c r="H48" i="63" s="1"/>
  <c r="T28" i="63" a="1"/>
  <c r="T28" i="63" s="1"/>
  <c r="H29" i="63" a="1"/>
  <c r="H29" i="63" s="1"/>
  <c r="AK38" i="63" a="1"/>
  <c r="AK38" i="63" s="1"/>
  <c r="V28" i="63" a="1"/>
  <c r="V28" i="63" s="1"/>
  <c r="H38" i="63" a="1"/>
  <c r="H38" i="63" s="1"/>
  <c r="E48" i="63" a="1"/>
  <c r="E48" i="63" s="1"/>
  <c r="E46" i="63" a="1"/>
  <c r="E46" i="63" s="1"/>
  <c r="AH49" i="63" a="1"/>
  <c r="AH49" i="63" s="1"/>
  <c r="F39" i="63" a="1"/>
  <c r="F39" i="63" s="1"/>
  <c r="AI28" i="63" a="1"/>
  <c r="AI28" i="63" s="1"/>
  <c r="AL26" i="63" a="1"/>
  <c r="AL26" i="63" s="1"/>
  <c r="U37" i="63" a="1"/>
  <c r="U37" i="63" s="1"/>
  <c r="V36" i="63" a="1"/>
  <c r="V36" i="63" s="1"/>
  <c r="S39" i="63" a="1"/>
  <c r="S39" i="63" s="1"/>
  <c r="G46" i="63" a="1"/>
  <c r="G46" i="63" s="1"/>
  <c r="D49" i="63" a="1"/>
  <c r="D49" i="63" s="1"/>
  <c r="E36" i="63" a="1"/>
  <c r="E36" i="63" s="1"/>
  <c r="F36" i="63" a="1"/>
  <c r="F36" i="63" s="1"/>
  <c r="AJ39" i="63" a="1"/>
  <c r="AJ39" i="63" s="1"/>
  <c r="G48" i="63" a="1"/>
  <c r="G48" i="63" s="1"/>
  <c r="S38" i="63" a="1"/>
  <c r="S38" i="63" s="1"/>
  <c r="AL37" i="63" a="1"/>
  <c r="AL37" i="63" s="1"/>
  <c r="F49" i="63" a="1"/>
  <c r="F49" i="63" s="1"/>
  <c r="E39" i="63" a="1"/>
  <c r="E39" i="63" s="1"/>
  <c r="S49" i="63" a="1"/>
  <c r="S49" i="63" s="1"/>
  <c r="V29" i="63" a="1"/>
  <c r="V29" i="63" s="1"/>
  <c r="G40" i="63" a="1"/>
  <c r="G40" i="63" s="1"/>
  <c r="V26" i="63" a="1"/>
  <c r="V26" i="63" s="1"/>
  <c r="AL29" i="63" a="1"/>
  <c r="AL29" i="63" s="1"/>
  <c r="G37" i="63" a="1"/>
  <c r="G37" i="63" s="1"/>
  <c r="D26" i="63" a="1"/>
  <c r="D26" i="63" s="1"/>
  <c r="T36" i="63" a="1"/>
  <c r="T36" i="63" s="1"/>
  <c r="S37" i="63" a="1"/>
  <c r="S37" i="63" s="1"/>
  <c r="H39" i="63" a="1"/>
  <c r="H39" i="63" s="1"/>
  <c r="E40" i="63" a="1"/>
  <c r="E40" i="63" s="1"/>
  <c r="F46" i="63" a="1"/>
  <c r="F46" i="63" s="1"/>
  <c r="U26" i="63" a="1"/>
  <c r="U26" i="63" s="1"/>
  <c r="S28" i="63" a="1"/>
  <c r="S28" i="63" s="1"/>
  <c r="AK37" i="63" a="1"/>
  <c r="AK37" i="63" s="1"/>
  <c r="AI39" i="63" a="1"/>
  <c r="AI39" i="63" s="1"/>
  <c r="W46" i="63" a="1"/>
  <c r="W46" i="63" s="1"/>
  <c r="W39" i="63" a="1"/>
  <c r="W39" i="63" s="1"/>
  <c r="F40" i="63" a="1"/>
  <c r="F40" i="63" s="1"/>
  <c r="AH28" i="63" a="1"/>
  <c r="AH28" i="63" s="1"/>
  <c r="H37" i="63" a="1"/>
  <c r="H37" i="63" s="1"/>
  <c r="G38" i="63" a="1"/>
  <c r="G38" i="63" s="1"/>
  <c r="D40" i="63" a="1"/>
  <c r="D40" i="63" s="1"/>
  <c r="AL46" i="63" a="1"/>
  <c r="AL46" i="63" s="1"/>
  <c r="D48" i="63" a="1"/>
  <c r="D48" i="63" s="1"/>
  <c r="F29" i="63" a="1"/>
  <c r="F29" i="63" s="1"/>
  <c r="G29" i="63" a="1"/>
  <c r="G29" i="63" s="1"/>
  <c r="AI38" i="63" a="1"/>
  <c r="AI38" i="63" s="1"/>
  <c r="V46" i="63" a="1"/>
  <c r="V46" i="63" s="1"/>
  <c r="T48" i="63" a="1"/>
  <c r="T48" i="63" s="1"/>
  <c r="U29" i="63" a="1"/>
  <c r="U29" i="63" s="1"/>
  <c r="AI49" i="63" a="1"/>
  <c r="AI49" i="63" s="1"/>
  <c r="E38" i="63" a="1"/>
  <c r="E38" i="63" s="1"/>
  <c r="AL48" i="63" a="1"/>
  <c r="AL48" i="63" s="1"/>
  <c r="E63" i="65" a="1"/>
  <c r="E63" i="65" s="1"/>
  <c r="F63" i="65" a="1"/>
  <c r="F63" i="65" s="1"/>
  <c r="D64" i="65" a="1"/>
  <c r="D64" i="65" s="1"/>
  <c r="F64" i="65" a="1"/>
  <c r="F64" i="65" s="1"/>
  <c r="D65" i="65" a="1"/>
  <c r="D65" i="65" s="1"/>
  <c r="E65" i="65" a="1"/>
  <c r="E65" i="65" s="1"/>
  <c r="J29" i="11"/>
  <c r="E63" i="68" s="1" a="1"/>
  <c r="E63" i="68" s="1"/>
  <c r="J27" i="11"/>
  <c r="E63" i="66" s="1" a="1"/>
  <c r="E63" i="66" s="1"/>
  <c r="J30" i="11"/>
  <c r="E63" i="69" s="1" a="1"/>
  <c r="E63" i="69" s="1"/>
  <c r="J31" i="11"/>
  <c r="E63" i="58" s="1" a="1"/>
  <c r="E63" i="58" s="1"/>
  <c r="J28" i="11"/>
  <c r="L28" i="6"/>
  <c r="E58" i="69" s="1" a="1"/>
  <c r="E58" i="69" s="1"/>
  <c r="L21" i="6"/>
  <c r="F56" i="63" s="1" a="1"/>
  <c r="F56" i="63" s="1"/>
  <c r="L24" i="6"/>
  <c r="G56" i="65" s="1" a="1"/>
  <c r="G56" i="65" s="1"/>
  <c r="L22" i="6"/>
  <c r="D57" i="61" s="1" a="1"/>
  <c r="D57" i="61" s="1"/>
  <c r="L26" i="6"/>
  <c r="E55" i="67" s="1" a="1"/>
  <c r="E55" i="67" s="1"/>
  <c r="L27" i="6"/>
  <c r="E57" i="68" s="1" a="1"/>
  <c r="E57" i="68" s="1"/>
  <c r="L29" i="6"/>
  <c r="G55" i="58" s="1" a="1"/>
  <c r="G55" i="58" s="1"/>
  <c r="L23" i="6"/>
  <c r="E55" i="64" s="1" a="1"/>
  <c r="E55" i="64" s="1"/>
  <c r="L25" i="6"/>
  <c r="G55" i="66" s="1" a="1"/>
  <c r="G55" i="66" s="1"/>
  <c r="L20" i="6"/>
  <c r="E55" i="62" s="1" a="1"/>
  <c r="E55" i="62" s="1"/>
  <c r="E55" i="63" l="1" a="1"/>
  <c r="E55" i="63" s="1"/>
  <c r="E58" i="64" a="1"/>
  <c r="E58" i="64" s="1"/>
  <c r="E57" i="58" a="1"/>
  <c r="E57" i="58" s="1"/>
  <c r="E57" i="63" a="1"/>
  <c r="E57" i="63" s="1"/>
  <c r="E57" i="64" a="1"/>
  <c r="E57" i="64" s="1"/>
  <c r="E55" i="69" a="1"/>
  <c r="E55" i="69" s="1"/>
  <c r="E57" i="69" a="1"/>
  <c r="E57" i="69" s="1"/>
  <c r="E58" i="61" a="1"/>
  <c r="E58" i="61" s="1"/>
  <c r="E55" i="61" a="1"/>
  <c r="E55" i="61" s="1"/>
  <c r="E58" i="67" a="1"/>
  <c r="E58" i="67" s="1"/>
  <c r="E57" i="67" a="1"/>
  <c r="E57" i="67" s="1"/>
  <c r="E55" i="66" a="1"/>
  <c r="E55" i="66" s="1"/>
  <c r="E58" i="68" a="1"/>
  <c r="E58" i="68" s="1"/>
  <c r="E55" i="68" a="1"/>
  <c r="E55" i="68" s="1"/>
  <c r="E57" i="66" a="1"/>
  <c r="E57" i="66" s="1"/>
  <c r="E58" i="66" a="1"/>
  <c r="E58" i="66" s="1"/>
  <c r="E58" i="58" a="1"/>
  <c r="E58" i="58" s="1"/>
  <c r="E57" i="61" a="1"/>
  <c r="E57" i="61" s="1"/>
  <c r="E55" i="58" a="1"/>
  <c r="E55" i="58" s="1"/>
  <c r="E55" i="65" a="1"/>
  <c r="E55" i="65" s="1"/>
  <c r="E57" i="62" a="1"/>
  <c r="E57" i="62" s="1"/>
  <c r="E57" i="65" a="1"/>
  <c r="E57" i="65" s="1"/>
  <c r="E58" i="62" a="1"/>
  <c r="E58" i="62" s="1"/>
  <c r="E58" i="63" a="1"/>
  <c r="E58" i="63" s="1"/>
  <c r="E58" i="65" a="1"/>
  <c r="E58" i="65" s="1"/>
  <c r="F58" i="63" a="1"/>
  <c r="F58" i="63" s="1"/>
  <c r="D57" i="58" a="1"/>
  <c r="D57" i="58" s="1"/>
  <c r="F55" i="63" a="1"/>
  <c r="F55" i="63" s="1"/>
  <c r="F55" i="58" a="1"/>
  <c r="F55" i="58" s="1"/>
  <c r="G57" i="64" a="1"/>
  <c r="G57" i="64" s="1"/>
  <c r="D56" i="63" a="1"/>
  <c r="D56" i="63" s="1"/>
  <c r="G55" i="63" a="1"/>
  <c r="G55" i="63" s="1"/>
  <c r="G56" i="64" a="1"/>
  <c r="G56" i="64" s="1"/>
  <c r="D58" i="66" a="1"/>
  <c r="D58" i="66" s="1"/>
  <c r="F58" i="65" a="1"/>
  <c r="F58" i="65" s="1"/>
  <c r="G56" i="61" a="1"/>
  <c r="G56" i="61" s="1"/>
  <c r="D56" i="64" a="1"/>
  <c r="D56" i="64" s="1"/>
  <c r="F55" i="65" a="1"/>
  <c r="F55" i="65" s="1"/>
  <c r="D56" i="61" a="1"/>
  <c r="D56" i="61" s="1"/>
  <c r="D58" i="62" a="1"/>
  <c r="D58" i="62" s="1"/>
  <c r="G57" i="66" a="1"/>
  <c r="G57" i="66" s="1"/>
  <c r="F58" i="61" a="1"/>
  <c r="F58" i="61" s="1"/>
  <c r="E65" i="66" a="1"/>
  <c r="E65" i="66" s="1"/>
  <c r="G55" i="61" a="1"/>
  <c r="G55" i="61" s="1"/>
  <c r="D57" i="62" a="1"/>
  <c r="D57" i="62" s="1"/>
  <c r="F56" i="58" a="1"/>
  <c r="F56" i="58" s="1"/>
  <c r="G57" i="58" a="1"/>
  <c r="G57" i="58" s="1"/>
  <c r="F56" i="64" a="1"/>
  <c r="F56" i="64" s="1"/>
  <c r="D65" i="58" a="1"/>
  <c r="D65" i="58" s="1"/>
  <c r="D58" i="63" a="1"/>
  <c r="D58" i="63" s="1"/>
  <c r="D65" i="66" a="1"/>
  <c r="D65" i="66" s="1"/>
  <c r="D57" i="66" a="1"/>
  <c r="D57" i="66" s="1"/>
  <c r="D58" i="65" a="1"/>
  <c r="D58" i="65" s="1"/>
  <c r="G56" i="62" a="1"/>
  <c r="G56" i="62" s="1"/>
  <c r="G55" i="64" a="1"/>
  <c r="G55" i="64" s="1"/>
  <c r="E65" i="58" a="1"/>
  <c r="E65" i="58" s="1"/>
  <c r="F64" i="66" a="1"/>
  <c r="F64" i="66" s="1"/>
  <c r="F58" i="66" a="1"/>
  <c r="F58" i="66" s="1"/>
  <c r="G57" i="65" a="1"/>
  <c r="G57" i="65" s="1"/>
  <c r="G57" i="61" a="1"/>
  <c r="G57" i="61" s="1"/>
  <c r="F56" i="62" a="1"/>
  <c r="F56" i="62" s="1"/>
  <c r="F58" i="58" a="1"/>
  <c r="F58" i="58" s="1"/>
  <c r="F55" i="64" a="1"/>
  <c r="F55" i="64" s="1"/>
  <c r="F64" i="58" a="1"/>
  <c r="F64" i="58" s="1"/>
  <c r="D57" i="63" a="1"/>
  <c r="D57" i="63" s="1"/>
  <c r="D64" i="66" a="1"/>
  <c r="D64" i="66" s="1"/>
  <c r="D56" i="66" a="1"/>
  <c r="D56" i="66" s="1"/>
  <c r="G55" i="62" a="1"/>
  <c r="G55" i="62" s="1"/>
  <c r="D57" i="64" a="1"/>
  <c r="D57" i="64" s="1"/>
  <c r="F63" i="58" a="1"/>
  <c r="F63" i="58" s="1"/>
  <c r="D58" i="58" a="1"/>
  <c r="D58" i="58" s="1"/>
  <c r="G56" i="58" a="1"/>
  <c r="G56" i="58" s="1"/>
  <c r="D56" i="58" a="1"/>
  <c r="D56" i="58" s="1"/>
  <c r="D64" i="58" a="1"/>
  <c r="D64" i="58" s="1"/>
  <c r="G56" i="63" a="1"/>
  <c r="G56" i="63" s="1"/>
  <c r="F63" i="66" a="1"/>
  <c r="F63" i="66" s="1"/>
  <c r="F56" i="65" a="1"/>
  <c r="F56" i="65" s="1"/>
  <c r="F56" i="61" a="1"/>
  <c r="F56" i="61" s="1"/>
  <c r="F55" i="62" a="1"/>
  <c r="F55" i="62" s="1"/>
  <c r="F58" i="64" a="1"/>
  <c r="F58" i="64" s="1"/>
  <c r="G57" i="63" a="1"/>
  <c r="G57" i="63" s="1"/>
  <c r="F55" i="66" a="1"/>
  <c r="F55" i="66" s="1"/>
  <c r="D56" i="65" a="1"/>
  <c r="D56" i="65" s="1"/>
  <c r="F55" i="61" a="1"/>
  <c r="F55" i="61" s="1"/>
  <c r="F58" i="62" a="1"/>
  <c r="F58" i="62" s="1"/>
  <c r="D58" i="64" a="1"/>
  <c r="D58" i="64" s="1"/>
  <c r="G56" i="66" a="1"/>
  <c r="G56" i="66" s="1"/>
  <c r="G55" i="65" a="1"/>
  <c r="G55" i="65" s="1"/>
  <c r="D56" i="62" a="1"/>
  <c r="D56" i="62" s="1"/>
  <c r="F56" i="66" a="1"/>
  <c r="F56" i="66" s="1"/>
  <c r="D57" i="65" a="1"/>
  <c r="D57" i="65" s="1"/>
  <c r="D58" i="61" a="1"/>
  <c r="D58" i="61" s="1"/>
  <c r="G57" i="62" a="1"/>
  <c r="G57" i="62" s="1"/>
  <c r="F28" i="67" a="1"/>
  <c r="F28" i="67" s="1"/>
  <c r="E49" i="67" a="1"/>
  <c r="E49" i="67" s="1"/>
  <c r="AH49" i="67" a="1"/>
  <c r="AH49" i="67" s="1"/>
  <c r="S40" i="67" a="1"/>
  <c r="S40" i="67" s="1"/>
  <c r="AL29" i="67" a="1"/>
  <c r="AL29" i="67" s="1"/>
  <c r="H36" i="67" a="1"/>
  <c r="H36" i="67" s="1"/>
  <c r="S29" i="67" a="1"/>
  <c r="S29" i="67" s="1"/>
  <c r="T26" i="67" a="1"/>
  <c r="T26" i="67" s="1"/>
  <c r="H29" i="67" a="1"/>
  <c r="H29" i="67" s="1"/>
  <c r="S26" i="67" a="1"/>
  <c r="S26" i="67" s="1"/>
  <c r="S48" i="67" a="1"/>
  <c r="S48" i="67" s="1"/>
  <c r="AI46" i="67" a="1"/>
  <c r="AI46" i="67" s="1"/>
  <c r="G46" i="67" a="1"/>
  <c r="G46" i="67" s="1"/>
  <c r="W48" i="67" a="1"/>
  <c r="W48" i="67" s="1"/>
  <c r="AL38" i="67" a="1"/>
  <c r="AL38" i="67" s="1"/>
  <c r="G40" i="67" a="1"/>
  <c r="G40" i="67" s="1"/>
  <c r="H26" i="67" a="1"/>
  <c r="H26" i="67" s="1"/>
  <c r="F36" i="67" a="1"/>
  <c r="F36" i="67" s="1"/>
  <c r="AJ39" i="67" a="1"/>
  <c r="AJ39" i="67" s="1"/>
  <c r="AK29" i="67" a="1"/>
  <c r="AK29" i="67" s="1"/>
  <c r="H46" i="67" a="1"/>
  <c r="H46" i="67" s="1"/>
  <c r="H37" i="67" a="1"/>
  <c r="H37" i="67" s="1"/>
  <c r="D38" i="67" a="1"/>
  <c r="D38" i="67" s="1"/>
  <c r="E48" i="67" a="1"/>
  <c r="E48" i="67" s="1"/>
  <c r="H38" i="67" a="1"/>
  <c r="H38" i="67" s="1"/>
  <c r="T49" i="67" a="1"/>
  <c r="T49" i="67" s="1"/>
  <c r="U26" i="67" a="1"/>
  <c r="U26" i="67" s="1"/>
  <c r="W38" i="67" a="1"/>
  <c r="W38" i="67" s="1"/>
  <c r="F39" i="67" a="1"/>
  <c r="F39" i="67" s="1"/>
  <c r="T28" i="67" a="1"/>
  <c r="T28" i="67" s="1"/>
  <c r="U39" i="67" a="1"/>
  <c r="U39" i="67" s="1"/>
  <c r="AI40" i="67" a="1"/>
  <c r="AI40" i="67" s="1"/>
  <c r="AK46" i="67" a="1"/>
  <c r="AK46" i="67" s="1"/>
  <c r="AI26" i="67" a="1"/>
  <c r="AI26" i="67" s="1"/>
  <c r="AK38" i="67" a="1"/>
  <c r="AK38" i="67" s="1"/>
  <c r="U49" i="67" a="1"/>
  <c r="U49" i="67" s="1"/>
  <c r="AH29" i="67" a="1"/>
  <c r="AH29" i="67" s="1"/>
  <c r="E26" i="67" a="1"/>
  <c r="E26" i="67" s="1"/>
  <c r="E29" i="67" a="1"/>
  <c r="E29" i="67" s="1"/>
  <c r="AI49" i="67" a="1"/>
  <c r="AI49" i="67" s="1"/>
  <c r="G29" i="67" a="1"/>
  <c r="G29" i="67" s="1"/>
  <c r="W37" i="67" a="1"/>
  <c r="W37" i="67" s="1"/>
  <c r="AJ26" i="67" a="1"/>
  <c r="AJ26" i="67" s="1"/>
  <c r="V37" i="67" a="1"/>
  <c r="V37" i="67" s="1"/>
  <c r="AI28" i="67" a="1"/>
  <c r="AI28" i="67" s="1"/>
  <c r="G38" i="67" a="1"/>
  <c r="G38" i="67" s="1"/>
  <c r="AI29" i="67" a="1"/>
  <c r="AI29" i="67" s="1"/>
  <c r="D39" i="67" a="1"/>
  <c r="D39" i="67" s="1"/>
  <c r="AL28" i="67" a="1"/>
  <c r="AL28" i="67" s="1"/>
  <c r="AI38" i="67" a="1"/>
  <c r="AI38" i="67" s="1"/>
  <c r="E40" i="67" a="1"/>
  <c r="E40" i="67" s="1"/>
  <c r="W26" i="67" a="1"/>
  <c r="W26" i="67" s="1"/>
  <c r="AJ29" i="67" a="1"/>
  <c r="AJ29" i="67" s="1"/>
  <c r="AI39" i="67" a="1"/>
  <c r="AI39" i="67" s="1"/>
  <c r="T36" i="67" a="1"/>
  <c r="T36" i="67" s="1"/>
  <c r="AH28" i="67" a="1"/>
  <c r="AH28" i="67" s="1"/>
  <c r="AH26" i="67" a="1"/>
  <c r="AH26" i="67" s="1"/>
  <c r="AL48" i="67" a="1"/>
  <c r="AL48" i="67" s="1"/>
  <c r="S38" i="67" a="1"/>
  <c r="S38" i="67" s="1"/>
  <c r="AJ28" i="67" a="1"/>
  <c r="AJ28" i="67" s="1"/>
  <c r="T40" i="67" a="1"/>
  <c r="T40" i="67" s="1"/>
  <c r="H39" i="67" a="1"/>
  <c r="H39" i="67" s="1"/>
  <c r="U36" i="67" a="1"/>
  <c r="U36" i="67" s="1"/>
  <c r="T29" i="67" a="1"/>
  <c r="T29" i="67" s="1"/>
  <c r="E39" i="67" a="1"/>
  <c r="E39" i="67" s="1"/>
  <c r="W46" i="67" a="1"/>
  <c r="W46" i="67" s="1"/>
  <c r="F26" i="67" a="1"/>
  <c r="F26" i="67" s="1"/>
  <c r="U29" i="67" a="1"/>
  <c r="U29" i="67" s="1"/>
  <c r="U46" i="67" a="1"/>
  <c r="U46" i="67" s="1"/>
  <c r="AH39" i="67" a="1"/>
  <c r="AH39" i="67" s="1"/>
  <c r="S37" i="67" a="1"/>
  <c r="S37" i="67" s="1"/>
  <c r="AJ46" i="67" a="1"/>
  <c r="AJ46" i="67" s="1"/>
  <c r="V26" i="67" a="1"/>
  <c r="V26" i="67" s="1"/>
  <c r="S49" i="67" a="1"/>
  <c r="S49" i="67" s="1"/>
  <c r="AJ36" i="67" a="1"/>
  <c r="AJ36" i="67" s="1"/>
  <c r="AL46" i="67" a="1"/>
  <c r="AL46" i="67" s="1"/>
  <c r="D26" i="67" a="1"/>
  <c r="D26" i="67" s="1"/>
  <c r="H28" i="67" a="1"/>
  <c r="H28" i="67" s="1"/>
  <c r="E36" i="67" a="1"/>
  <c r="E36" i="67" s="1"/>
  <c r="AK28" i="67" a="1"/>
  <c r="AK28" i="67" s="1"/>
  <c r="F37" i="67" a="1"/>
  <c r="F37" i="67" s="1"/>
  <c r="AJ40" i="67" a="1"/>
  <c r="AJ40" i="67" s="1"/>
  <c r="G26" i="67" a="1"/>
  <c r="G26" i="67" s="1"/>
  <c r="V40" i="67" a="1"/>
  <c r="V40" i="67" s="1"/>
  <c r="AK26" i="67" a="1"/>
  <c r="AK26" i="67" s="1"/>
  <c r="V36" i="67" a="1"/>
  <c r="V36" i="67" s="1"/>
  <c r="S28" i="67" a="1"/>
  <c r="S28" i="67" s="1"/>
  <c r="F40" i="67" a="1"/>
  <c r="F40" i="67" s="1"/>
  <c r="G48" i="67" a="1"/>
  <c r="G48" i="67" s="1"/>
  <c r="AH40" i="67" a="1"/>
  <c r="AH40" i="67" s="1"/>
  <c r="H48" i="67" a="1"/>
  <c r="H48" i="67" s="1"/>
  <c r="F46" i="67" a="1"/>
  <c r="F46" i="67" s="1"/>
  <c r="W39" i="67" a="1"/>
  <c r="W39" i="67" s="1"/>
  <c r="U40" i="67" a="1"/>
  <c r="U40" i="67" s="1"/>
  <c r="AH37" i="67" a="1"/>
  <c r="AH37" i="67" s="1"/>
  <c r="AJ49" i="67" a="1"/>
  <c r="AJ49" i="67" s="1"/>
  <c r="E28" i="67" a="1"/>
  <c r="E28" i="67" s="1"/>
  <c r="H49" i="67" a="1"/>
  <c r="H49" i="67" s="1"/>
  <c r="F29" i="67" a="1"/>
  <c r="F29" i="67" s="1"/>
  <c r="D28" i="67" a="1"/>
  <c r="D28" i="67" s="1"/>
  <c r="AK40" i="67" a="1"/>
  <c r="AK40" i="67" s="1"/>
  <c r="U37" i="67" a="1"/>
  <c r="U37" i="67" s="1"/>
  <c r="T38" i="67" a="1"/>
  <c r="T38" i="67" s="1"/>
  <c r="W36" i="67" a="1"/>
  <c r="W36" i="67" s="1"/>
  <c r="S39" i="67" a="1"/>
  <c r="S39" i="67" s="1"/>
  <c r="E38" i="67" a="1"/>
  <c r="E38" i="67" s="1"/>
  <c r="T46" i="67" a="1"/>
  <c r="T46" i="67" s="1"/>
  <c r="AJ37" i="67" a="1"/>
  <c r="AJ37" i="67" s="1"/>
  <c r="AI48" i="67" a="1"/>
  <c r="AI48" i="67" s="1"/>
  <c r="T39" i="67" a="1"/>
  <c r="T39" i="67" s="1"/>
  <c r="AI36" i="67" a="1"/>
  <c r="AI36" i="67" s="1"/>
  <c r="AK36" i="67" a="1"/>
  <c r="AK36" i="67" s="1"/>
  <c r="AH38" i="67" a="1"/>
  <c r="AH38" i="67" s="1"/>
  <c r="V29" i="67" a="1"/>
  <c r="V29" i="67" s="1"/>
  <c r="V38" i="67" a="1"/>
  <c r="V38" i="67" s="1"/>
  <c r="D37" i="67" a="1"/>
  <c r="D37" i="67" s="1"/>
  <c r="V46" i="67" a="1"/>
  <c r="V46" i="67" s="1"/>
  <c r="F49" i="67" a="1"/>
  <c r="F49" i="67" s="1"/>
  <c r="V28" i="67" a="1"/>
  <c r="V28" i="67" s="1"/>
  <c r="AL26" i="67" a="1"/>
  <c r="AL26" i="67" s="1"/>
  <c r="AL36" i="67" a="1"/>
  <c r="AL36" i="67" s="1"/>
  <c r="D48" i="67" a="1"/>
  <c r="D48" i="67" s="1"/>
  <c r="W28" i="67" a="1"/>
  <c r="W28" i="67" s="1"/>
  <c r="AK48" i="67" a="1"/>
  <c r="AK48" i="67" s="1"/>
  <c r="W49" i="67" a="1"/>
  <c r="W49" i="67" s="1"/>
  <c r="G36" i="67" a="1"/>
  <c r="G36" i="67" s="1"/>
  <c r="U28" i="67" a="1"/>
  <c r="U28" i="67" s="1"/>
  <c r="D29" i="67" a="1"/>
  <c r="D29" i="67" s="1"/>
  <c r="AK37" i="67" a="1"/>
  <c r="AK37" i="67" s="1"/>
  <c r="D40" i="67" a="1"/>
  <c r="D40" i="67" s="1"/>
  <c r="AL37" i="67" a="1"/>
  <c r="AL37" i="67" s="1"/>
  <c r="AL49" i="67" a="1"/>
  <c r="AL49" i="67" s="1"/>
  <c r="G28" i="67" a="1"/>
  <c r="G28" i="67" s="1"/>
  <c r="E46" i="67" a="1"/>
  <c r="E46" i="67" s="1"/>
  <c r="AH48" i="67" a="1"/>
  <c r="AH48" i="67" s="1"/>
  <c r="T48" i="67" a="1"/>
  <c r="T48" i="67" s="1"/>
  <c r="D49" i="67" a="1"/>
  <c r="D49" i="67" s="1"/>
  <c r="G37" i="67" a="1"/>
  <c r="G37" i="67" s="1"/>
  <c r="V48" i="67" a="1"/>
  <c r="V48" i="67" s="1"/>
  <c r="AL39" i="67" a="1"/>
  <c r="AL39" i="67" s="1"/>
  <c r="W29" i="67" a="1"/>
  <c r="W29" i="67" s="1"/>
  <c r="U39" i="69" a="1"/>
  <c r="U39" i="69" s="1"/>
  <c r="H48" i="69" a="1"/>
  <c r="H48" i="69" s="1"/>
  <c r="H46" i="69" a="1"/>
  <c r="H46" i="69" s="1"/>
  <c r="E39" i="69" a="1"/>
  <c r="E39" i="69" s="1"/>
  <c r="T36" i="69" a="1"/>
  <c r="T36" i="69" s="1"/>
  <c r="AL49" i="69" a="1"/>
  <c r="AL49" i="69" s="1"/>
  <c r="D48" i="69" a="1"/>
  <c r="D48" i="69" s="1"/>
  <c r="AH26" i="69" a="1"/>
  <c r="AH26" i="69" s="1"/>
  <c r="AJ46" i="69" a="1"/>
  <c r="AJ46" i="69" s="1"/>
  <c r="AI28" i="69" a="1"/>
  <c r="AI28" i="69" s="1"/>
  <c r="F46" i="69" a="1"/>
  <c r="F46" i="69" s="1"/>
  <c r="AH39" i="69" a="1"/>
  <c r="AH39" i="69" s="1"/>
  <c r="U26" i="69" a="1"/>
  <c r="U26" i="69" s="1"/>
  <c r="AL37" i="69" a="1"/>
  <c r="AL37" i="69" s="1"/>
  <c r="AL26" i="69" a="1"/>
  <c r="AL26" i="69" s="1"/>
  <c r="AH28" i="69" a="1"/>
  <c r="AH28" i="69" s="1"/>
  <c r="H39" i="69" a="1"/>
  <c r="H39" i="69" s="1"/>
  <c r="AJ39" i="69" a="1"/>
  <c r="AJ39" i="69" s="1"/>
  <c r="AK36" i="69" a="1"/>
  <c r="AK36" i="69" s="1"/>
  <c r="G29" i="69" a="1"/>
  <c r="G29" i="69" s="1"/>
  <c r="V46" i="69" a="1"/>
  <c r="V46" i="69" s="1"/>
  <c r="F39" i="69" a="1"/>
  <c r="F39" i="69" s="1"/>
  <c r="AJ26" i="69" a="1"/>
  <c r="AJ26" i="69" s="1"/>
  <c r="U49" i="69" a="1"/>
  <c r="U49" i="69" s="1"/>
  <c r="D39" i="69" a="1"/>
  <c r="D39" i="69" s="1"/>
  <c r="D38" i="69" a="1"/>
  <c r="D38" i="69" s="1"/>
  <c r="W38" i="69" a="1"/>
  <c r="W38" i="69" s="1"/>
  <c r="W46" i="69" a="1"/>
  <c r="W46" i="69" s="1"/>
  <c r="G46" i="69" a="1"/>
  <c r="G46" i="69" s="1"/>
  <c r="S49" i="69" a="1"/>
  <c r="S49" i="69" s="1"/>
  <c r="AI46" i="69" a="1"/>
  <c r="AI46" i="69" s="1"/>
  <c r="G26" i="69" a="1"/>
  <c r="G26" i="69" s="1"/>
  <c r="H37" i="69" a="1"/>
  <c r="H37" i="69" s="1"/>
  <c r="AI29" i="69" a="1"/>
  <c r="AI29" i="69" s="1"/>
  <c r="V26" i="69" a="1"/>
  <c r="V26" i="69" s="1"/>
  <c r="F37" i="69" a="1"/>
  <c r="F37" i="69" s="1"/>
  <c r="S39" i="69" a="1"/>
  <c r="S39" i="69" s="1"/>
  <c r="AJ29" i="69" a="1"/>
  <c r="AJ29" i="69" s="1"/>
  <c r="S28" i="69" a="1"/>
  <c r="S28" i="69" s="1"/>
  <c r="F29" i="69" a="1"/>
  <c r="F29" i="69" s="1"/>
  <c r="T28" i="69" a="1"/>
  <c r="T28" i="69" s="1"/>
  <c r="AI38" i="69" a="1"/>
  <c r="AI38" i="69" s="1"/>
  <c r="AL38" i="69" a="1"/>
  <c r="AL38" i="69" s="1"/>
  <c r="AI48" i="69" a="1"/>
  <c r="AI48" i="69" s="1"/>
  <c r="AL46" i="69" a="1"/>
  <c r="AL46" i="69" s="1"/>
  <c r="AJ36" i="69" a="1"/>
  <c r="AJ36" i="69" s="1"/>
  <c r="U40" i="69" a="1"/>
  <c r="U40" i="69" s="1"/>
  <c r="AI36" i="69" a="1"/>
  <c r="AI36" i="69" s="1"/>
  <c r="AK40" i="69" a="1"/>
  <c r="AK40" i="69" s="1"/>
  <c r="H49" i="69" a="1"/>
  <c r="H49" i="69" s="1"/>
  <c r="S29" i="69" a="1"/>
  <c r="S29" i="69" s="1"/>
  <c r="V48" i="69" a="1"/>
  <c r="V48" i="69" s="1"/>
  <c r="G37" i="69" a="1"/>
  <c r="G37" i="69" s="1"/>
  <c r="U28" i="69" a="1"/>
  <c r="U28" i="69" s="1"/>
  <c r="T38" i="69" a="1"/>
  <c r="T38" i="69" s="1"/>
  <c r="T39" i="69" a="1"/>
  <c r="T39" i="69" s="1"/>
  <c r="AK28" i="69" a="1"/>
  <c r="AK28" i="69" s="1"/>
  <c r="E40" i="69" a="1"/>
  <c r="E40" i="69" s="1"/>
  <c r="AH48" i="69" a="1"/>
  <c r="AH48" i="69" s="1"/>
  <c r="D26" i="69" a="1"/>
  <c r="D26" i="69" s="1"/>
  <c r="G48" i="69" a="1"/>
  <c r="G48" i="69" s="1"/>
  <c r="AJ37" i="69" a="1"/>
  <c r="AJ37" i="69" s="1"/>
  <c r="E49" i="69" a="1"/>
  <c r="E49" i="69" s="1"/>
  <c r="W29" i="69" a="1"/>
  <c r="W29" i="69" s="1"/>
  <c r="AJ49" i="69" a="1"/>
  <c r="AJ49" i="69" s="1"/>
  <c r="AI26" i="69" a="1"/>
  <c r="AI26" i="69" s="1"/>
  <c r="W36" i="69" a="1"/>
  <c r="W36" i="69" s="1"/>
  <c r="AH49" i="69" a="1"/>
  <c r="AH49" i="69" s="1"/>
  <c r="D37" i="69" a="1"/>
  <c r="D37" i="69" s="1"/>
  <c r="U37" i="69" a="1"/>
  <c r="U37" i="69" s="1"/>
  <c r="S38" i="69" a="1"/>
  <c r="S38" i="69" s="1"/>
  <c r="D40" i="69" a="1"/>
  <c r="D40" i="69" s="1"/>
  <c r="AL48" i="69" a="1"/>
  <c r="AL48" i="69" s="1"/>
  <c r="AL28" i="69" a="1"/>
  <c r="AL28" i="69" s="1"/>
  <c r="AI49" i="69" a="1"/>
  <c r="AI49" i="69" s="1"/>
  <c r="F28" i="69" a="1"/>
  <c r="F28" i="69" s="1"/>
  <c r="T48" i="69" a="1"/>
  <c r="T48" i="69" s="1"/>
  <c r="T40" i="69" a="1"/>
  <c r="T40" i="69" s="1"/>
  <c r="AJ40" i="69" a="1"/>
  <c r="AJ40" i="69" s="1"/>
  <c r="V28" i="69" a="1"/>
  <c r="V28" i="69" s="1"/>
  <c r="T26" i="69" a="1"/>
  <c r="T26" i="69" s="1"/>
  <c r="AH29" i="69" a="1"/>
  <c r="AH29" i="69" s="1"/>
  <c r="AK48" i="69" a="1"/>
  <c r="AK48" i="69" s="1"/>
  <c r="AK46" i="69" a="1"/>
  <c r="AK46" i="69" s="1"/>
  <c r="W28" i="69" a="1"/>
  <c r="W28" i="69" s="1"/>
  <c r="W49" i="69" a="1"/>
  <c r="W49" i="69" s="1"/>
  <c r="W39" i="69" a="1"/>
  <c r="W39" i="69" s="1"/>
  <c r="F49" i="69" a="1"/>
  <c r="F49" i="69" s="1"/>
  <c r="D29" i="69" a="1"/>
  <c r="D29" i="69" s="1"/>
  <c r="AH38" i="69" a="1"/>
  <c r="AH38" i="69" s="1"/>
  <c r="G28" i="69" a="1"/>
  <c r="G28" i="69" s="1"/>
  <c r="V36" i="69" a="1"/>
  <c r="V36" i="69" s="1"/>
  <c r="G40" i="69" a="1"/>
  <c r="G40" i="69" s="1"/>
  <c r="E28" i="69" a="1"/>
  <c r="E28" i="69" s="1"/>
  <c r="E29" i="69" a="1"/>
  <c r="E29" i="69" s="1"/>
  <c r="E38" i="69" a="1"/>
  <c r="E38" i="69" s="1"/>
  <c r="AH37" i="69" a="1"/>
  <c r="AH37" i="69" s="1"/>
  <c r="T29" i="69" a="1"/>
  <c r="T29" i="69" s="1"/>
  <c r="S26" i="69" a="1"/>
  <c r="S26" i="69" s="1"/>
  <c r="U29" i="69" a="1"/>
  <c r="U29" i="69" s="1"/>
  <c r="G38" i="69" a="1"/>
  <c r="G38" i="69" s="1"/>
  <c r="E46" i="69" a="1"/>
  <c r="E46" i="69" s="1"/>
  <c r="V40" i="69" a="1"/>
  <c r="V40" i="69" s="1"/>
  <c r="T46" i="69" a="1"/>
  <c r="T46" i="69" s="1"/>
  <c r="W26" i="69" a="1"/>
  <c r="W26" i="69" s="1"/>
  <c r="W48" i="69" a="1"/>
  <c r="W48" i="69" s="1"/>
  <c r="AI40" i="69" a="1"/>
  <c r="AI40" i="69" s="1"/>
  <c r="AK37" i="69" a="1"/>
  <c r="AK37" i="69" s="1"/>
  <c r="AK26" i="69" a="1"/>
  <c r="AK26" i="69" s="1"/>
  <c r="AL29" i="69" a="1"/>
  <c r="AL29" i="69" s="1"/>
  <c r="E26" i="69" a="1"/>
  <c r="E26" i="69" s="1"/>
  <c r="D28" i="69" a="1"/>
  <c r="D28" i="69" s="1"/>
  <c r="G36" i="69" a="1"/>
  <c r="G36" i="69" s="1"/>
  <c r="H26" i="69" a="1"/>
  <c r="H26" i="69" s="1"/>
  <c r="U36" i="69" a="1"/>
  <c r="U36" i="69" s="1"/>
  <c r="F40" i="69" a="1"/>
  <c r="F40" i="69" s="1"/>
  <c r="S48" i="69" a="1"/>
  <c r="S48" i="69" s="1"/>
  <c r="V29" i="69" a="1"/>
  <c r="V29" i="69" s="1"/>
  <c r="E48" i="69" a="1"/>
  <c r="E48" i="69" s="1"/>
  <c r="E36" i="69" a="1"/>
  <c r="E36" i="69" s="1"/>
  <c r="D49" i="69" a="1"/>
  <c r="D49" i="69" s="1"/>
  <c r="AK38" i="69" a="1"/>
  <c r="AK38" i="69" s="1"/>
  <c r="S40" i="69" a="1"/>
  <c r="S40" i="69" s="1"/>
  <c r="W37" i="69" a="1"/>
  <c r="W37" i="69" s="1"/>
  <c r="H38" i="69" a="1"/>
  <c r="H38" i="69" s="1"/>
  <c r="AJ28" i="69" a="1"/>
  <c r="AJ28" i="69" s="1"/>
  <c r="H36" i="69" a="1"/>
  <c r="H36" i="69" s="1"/>
  <c r="U46" i="69" a="1"/>
  <c r="U46" i="69" s="1"/>
  <c r="AH40" i="69" a="1"/>
  <c r="AH40" i="69" s="1"/>
  <c r="H29" i="69" a="1"/>
  <c r="H29" i="69" s="1"/>
  <c r="F36" i="69" a="1"/>
  <c r="F36" i="69" s="1"/>
  <c r="AL39" i="69" a="1"/>
  <c r="AL39" i="69" s="1"/>
  <c r="AL36" i="69" a="1"/>
  <c r="AL36" i="69" s="1"/>
  <c r="V37" i="69" a="1"/>
  <c r="V37" i="69" s="1"/>
  <c r="AK29" i="69" a="1"/>
  <c r="AK29" i="69" s="1"/>
  <c r="H28" i="69" a="1"/>
  <c r="H28" i="69" s="1"/>
  <c r="AI39" i="69" a="1"/>
  <c r="AI39" i="69" s="1"/>
  <c r="F26" i="69" a="1"/>
  <c r="F26" i="69" s="1"/>
  <c r="T49" i="69" a="1"/>
  <c r="T49" i="69" s="1"/>
  <c r="S37" i="69" a="1"/>
  <c r="S37" i="69" s="1"/>
  <c r="V38" i="69" a="1"/>
  <c r="V38" i="69" s="1"/>
  <c r="S49" i="68" a="1"/>
  <c r="S49" i="68" s="1"/>
  <c r="AH49" i="68" a="1"/>
  <c r="AH49" i="68" s="1"/>
  <c r="T36" i="68" a="1"/>
  <c r="T36" i="68" s="1"/>
  <c r="AH28" i="68" a="1"/>
  <c r="AH28" i="68" s="1"/>
  <c r="D29" i="68" a="1"/>
  <c r="D29" i="68" s="1"/>
  <c r="E40" i="68" a="1"/>
  <c r="E40" i="68" s="1"/>
  <c r="T38" i="68" a="1"/>
  <c r="T38" i="68" s="1"/>
  <c r="AH37" i="68" a="1"/>
  <c r="AH37" i="68" s="1"/>
  <c r="AH40" i="68" a="1"/>
  <c r="AH40" i="68" s="1"/>
  <c r="AL36" i="68" a="1"/>
  <c r="AL36" i="68" s="1"/>
  <c r="F37" i="68" a="1"/>
  <c r="F37" i="68" s="1"/>
  <c r="AI49" i="68" a="1"/>
  <c r="AI49" i="68" s="1"/>
  <c r="S37" i="68" a="1"/>
  <c r="S37" i="68" s="1"/>
  <c r="H48" i="68" a="1"/>
  <c r="H48" i="68" s="1"/>
  <c r="AI39" i="68" a="1"/>
  <c r="AI39" i="68" s="1"/>
  <c r="AL46" i="68" a="1"/>
  <c r="AL46" i="68" s="1"/>
  <c r="AJ39" i="68" a="1"/>
  <c r="AJ39" i="68" s="1"/>
  <c r="F49" i="68" a="1"/>
  <c r="F49" i="68" s="1"/>
  <c r="U49" i="68" a="1"/>
  <c r="U49" i="68" s="1"/>
  <c r="AI26" i="68" a="1"/>
  <c r="AI26" i="68" s="1"/>
  <c r="T29" i="68" a="1"/>
  <c r="T29" i="68" s="1"/>
  <c r="AK46" i="68" a="1"/>
  <c r="AK46" i="68" s="1"/>
  <c r="F40" i="68" a="1"/>
  <c r="F40" i="68" s="1"/>
  <c r="T39" i="68" a="1"/>
  <c r="T39" i="68" s="1"/>
  <c r="AH29" i="68" a="1"/>
  <c r="AH29" i="68" s="1"/>
  <c r="V28" i="68" a="1"/>
  <c r="V28" i="68" s="1"/>
  <c r="AL26" i="68" a="1"/>
  <c r="AL26" i="68" s="1"/>
  <c r="U26" i="68" a="1"/>
  <c r="U26" i="68" s="1"/>
  <c r="F46" i="68" a="1"/>
  <c r="F46" i="68" s="1"/>
  <c r="AJ40" i="68" a="1"/>
  <c r="AJ40" i="68" s="1"/>
  <c r="S40" i="68" a="1"/>
  <c r="S40" i="68" s="1"/>
  <c r="S48" i="68" a="1"/>
  <c r="S48" i="68" s="1"/>
  <c r="W46" i="68" a="1"/>
  <c r="W46" i="68" s="1"/>
  <c r="U37" i="68" a="1"/>
  <c r="U37" i="68" s="1"/>
  <c r="F26" i="68" a="1"/>
  <c r="F26" i="68" s="1"/>
  <c r="AJ28" i="68" a="1"/>
  <c r="AJ28" i="68" s="1"/>
  <c r="H49" i="68" a="1"/>
  <c r="H49" i="68" s="1"/>
  <c r="AJ49" i="68" a="1"/>
  <c r="AJ49" i="68" s="1"/>
  <c r="E29" i="68" a="1"/>
  <c r="E29" i="68" s="1"/>
  <c r="G37" i="68" a="1"/>
  <c r="G37" i="68" s="1"/>
  <c r="V38" i="68" a="1"/>
  <c r="V38" i="68" s="1"/>
  <c r="D38" i="68" a="1"/>
  <c r="D38" i="68" s="1"/>
  <c r="D48" i="68" a="1"/>
  <c r="D48" i="68" s="1"/>
  <c r="AI29" i="68" a="1"/>
  <c r="AI29" i="68" s="1"/>
  <c r="W28" i="68" a="1"/>
  <c r="W28" i="68" s="1"/>
  <c r="S28" i="68" a="1"/>
  <c r="S28" i="68" s="1"/>
  <c r="V26" i="68" a="1"/>
  <c r="V26" i="68" s="1"/>
  <c r="AH26" i="68" a="1"/>
  <c r="AH26" i="68" s="1"/>
  <c r="G38" i="68" a="1"/>
  <c r="G38" i="68" s="1"/>
  <c r="D39" i="68" a="1"/>
  <c r="D39" i="68" s="1"/>
  <c r="AL39" i="68" a="1"/>
  <c r="AL39" i="68" s="1"/>
  <c r="H39" i="68" a="1"/>
  <c r="H39" i="68" s="1"/>
  <c r="AK36" i="68" a="1"/>
  <c r="AK36" i="68" s="1"/>
  <c r="AL29" i="68" a="1"/>
  <c r="AL29" i="68" s="1"/>
  <c r="AJ26" i="68" a="1"/>
  <c r="AJ26" i="68" s="1"/>
  <c r="W38" i="68" a="1"/>
  <c r="W38" i="68" s="1"/>
  <c r="E48" i="68" a="1"/>
  <c r="E48" i="68" s="1"/>
  <c r="F36" i="68" a="1"/>
  <c r="F36" i="68" s="1"/>
  <c r="G48" i="68" a="1"/>
  <c r="G48" i="68" s="1"/>
  <c r="AK37" i="68" a="1"/>
  <c r="AK37" i="68" s="1"/>
  <c r="G36" i="68" a="1"/>
  <c r="G36" i="68" s="1"/>
  <c r="W37" i="68" a="1"/>
  <c r="W37" i="68" s="1"/>
  <c r="AJ29" i="68" a="1"/>
  <c r="AJ29" i="68" s="1"/>
  <c r="S29" i="68" a="1"/>
  <c r="S29" i="68" s="1"/>
  <c r="AL28" i="68" a="1"/>
  <c r="AL28" i="68" s="1"/>
  <c r="U28" i="68" a="1"/>
  <c r="U28" i="68" s="1"/>
  <c r="S26" i="68" a="1"/>
  <c r="S26" i="68" s="1"/>
  <c r="U36" i="68" a="1"/>
  <c r="U36" i="68" s="1"/>
  <c r="V37" i="68" a="1"/>
  <c r="V37" i="68" s="1"/>
  <c r="G28" i="68" a="1"/>
  <c r="G28" i="68" s="1"/>
  <c r="S38" i="68" a="1"/>
  <c r="S38" i="68" s="1"/>
  <c r="F39" i="68" a="1"/>
  <c r="F39" i="68" s="1"/>
  <c r="AH39" i="68" a="1"/>
  <c r="AH39" i="68" s="1"/>
  <c r="T46" i="68" a="1"/>
  <c r="T46" i="68" s="1"/>
  <c r="T48" i="68" a="1"/>
  <c r="T48" i="68" s="1"/>
  <c r="AL37" i="68" a="1"/>
  <c r="AL37" i="68" s="1"/>
  <c r="D49" i="68" a="1"/>
  <c r="D49" i="68" s="1"/>
  <c r="E39" i="68" a="1"/>
  <c r="E39" i="68" s="1"/>
  <c r="U39" i="68" a="1"/>
  <c r="U39" i="68" s="1"/>
  <c r="S39" i="68" a="1"/>
  <c r="S39" i="68" s="1"/>
  <c r="D26" i="68" a="1"/>
  <c r="D26" i="68" s="1"/>
  <c r="W49" i="68" a="1"/>
  <c r="W49" i="68" s="1"/>
  <c r="D28" i="68" a="1"/>
  <c r="D28" i="68" s="1"/>
  <c r="G26" i="68" a="1"/>
  <c r="G26" i="68" s="1"/>
  <c r="AL48" i="68" a="1"/>
  <c r="AL48" i="68" s="1"/>
  <c r="AK38" i="68" a="1"/>
  <c r="AK38" i="68" s="1"/>
  <c r="AI38" i="68" a="1"/>
  <c r="AI38" i="68" s="1"/>
  <c r="AK40" i="68" a="1"/>
  <c r="AK40" i="68" s="1"/>
  <c r="AH48" i="68" a="1"/>
  <c r="AH48" i="68" s="1"/>
  <c r="H28" i="68" a="1"/>
  <c r="H28" i="68" s="1"/>
  <c r="H37" i="68" a="1"/>
  <c r="H37" i="68" s="1"/>
  <c r="V46" i="68" a="1"/>
  <c r="V46" i="68" s="1"/>
  <c r="W48" i="68" a="1"/>
  <c r="W48" i="68" s="1"/>
  <c r="E36" i="68" a="1"/>
  <c r="E36" i="68" s="1"/>
  <c r="E38" i="68" a="1"/>
  <c r="E38" i="68" s="1"/>
  <c r="AL49" i="68" a="1"/>
  <c r="AL49" i="68" s="1"/>
  <c r="W39" i="68" a="1"/>
  <c r="W39" i="68" s="1"/>
  <c r="V40" i="68" a="1"/>
  <c r="V40" i="68" s="1"/>
  <c r="AJ36" i="68" a="1"/>
  <c r="AJ36" i="68" s="1"/>
  <c r="U29" i="68" a="1"/>
  <c r="U29" i="68" s="1"/>
  <c r="E28" i="68" a="1"/>
  <c r="E28" i="68" s="1"/>
  <c r="H26" i="68" a="1"/>
  <c r="H26" i="68" s="1"/>
  <c r="H46" i="68" a="1"/>
  <c r="H46" i="68" s="1"/>
  <c r="U46" i="68" a="1"/>
  <c r="U46" i="68" s="1"/>
  <c r="AJ37" i="68" a="1"/>
  <c r="AJ37" i="68" s="1"/>
  <c r="AK26" i="68" a="1"/>
  <c r="AK26" i="68" s="1"/>
  <c r="T40" i="68" a="1"/>
  <c r="T40" i="68" s="1"/>
  <c r="AI28" i="68" a="1"/>
  <c r="AI28" i="68" s="1"/>
  <c r="AK48" i="68" a="1"/>
  <c r="AK48" i="68" s="1"/>
  <c r="F29" i="68" a="1"/>
  <c r="F29" i="68" s="1"/>
  <c r="W29" i="68" a="1"/>
  <c r="W29" i="68" s="1"/>
  <c r="E49" i="68" a="1"/>
  <c r="E49" i="68" s="1"/>
  <c r="D37" i="68" a="1"/>
  <c r="D37" i="68" s="1"/>
  <c r="H36" i="68" a="1"/>
  <c r="H36" i="68" s="1"/>
  <c r="V36" i="68" a="1"/>
  <c r="V36" i="68" s="1"/>
  <c r="E26" i="68" a="1"/>
  <c r="E26" i="68" s="1"/>
  <c r="G29" i="68" a="1"/>
  <c r="G29" i="68" s="1"/>
  <c r="AI36" i="68" a="1"/>
  <c r="AI36" i="68" s="1"/>
  <c r="G40" i="68" a="1"/>
  <c r="G40" i="68" s="1"/>
  <c r="F28" i="68" a="1"/>
  <c r="F28" i="68" s="1"/>
  <c r="AI46" i="68" a="1"/>
  <c r="AI46" i="68" s="1"/>
  <c r="V48" i="68" a="1"/>
  <c r="V48" i="68" s="1"/>
  <c r="W26" i="68" a="1"/>
  <c r="W26" i="68" s="1"/>
  <c r="AJ46" i="68" a="1"/>
  <c r="AJ46" i="68" s="1"/>
  <c r="AI48" i="68" a="1"/>
  <c r="AI48" i="68" s="1"/>
  <c r="U40" i="68" a="1"/>
  <c r="U40" i="68" s="1"/>
  <c r="AK29" i="68" a="1"/>
  <c r="AK29" i="68" s="1"/>
  <c r="H38" i="68" a="1"/>
  <c r="H38" i="68" s="1"/>
  <c r="AI40" i="68" a="1"/>
  <c r="AI40" i="68" s="1"/>
  <c r="T28" i="68" a="1"/>
  <c r="T28" i="68" s="1"/>
  <c r="G46" i="68" a="1"/>
  <c r="G46" i="68" s="1"/>
  <c r="V29" i="68" a="1"/>
  <c r="V29" i="68" s="1"/>
  <c r="T49" i="68" a="1"/>
  <c r="T49" i="68" s="1"/>
  <c r="AH38" i="68" a="1"/>
  <c r="AH38" i="68" s="1"/>
  <c r="AL38" i="68" a="1"/>
  <c r="AL38" i="68" s="1"/>
  <c r="E46" i="68" a="1"/>
  <c r="E46" i="68" s="1"/>
  <c r="D40" i="68" a="1"/>
  <c r="D40" i="68" s="1"/>
  <c r="W36" i="68" a="1"/>
  <c r="W36" i="68" s="1"/>
  <c r="AK28" i="68" a="1"/>
  <c r="AK28" i="68" s="1"/>
  <c r="T26" i="68" a="1"/>
  <c r="T26" i="68" s="1"/>
  <c r="H29" i="68" a="1"/>
  <c r="H29" i="68" s="1"/>
  <c r="F55" i="69" a="1"/>
  <c r="F55" i="69" s="1"/>
  <c r="G56" i="69" a="1"/>
  <c r="G56" i="69" s="1"/>
  <c r="F55" i="68" a="1"/>
  <c r="F55" i="68" s="1"/>
  <c r="G55" i="68" a="1"/>
  <c r="G55" i="68" s="1"/>
  <c r="D58" i="69" a="1"/>
  <c r="D58" i="69" s="1"/>
  <c r="G57" i="68" a="1"/>
  <c r="G57" i="68" s="1"/>
  <c r="F58" i="69" a="1"/>
  <c r="F58" i="69" s="1"/>
  <c r="D56" i="68" a="1"/>
  <c r="D56" i="68" s="1"/>
  <c r="F56" i="69" a="1"/>
  <c r="F56" i="69" s="1"/>
  <c r="F58" i="68" a="1"/>
  <c r="F58" i="68" s="1"/>
  <c r="D57" i="69" a="1"/>
  <c r="D57" i="69" s="1"/>
  <c r="G56" i="68" a="1"/>
  <c r="G56" i="68" s="1"/>
  <c r="D56" i="69" a="1"/>
  <c r="D56" i="69" s="1"/>
  <c r="D58" i="68" a="1"/>
  <c r="D58" i="68" s="1"/>
  <c r="G55" i="69" a="1"/>
  <c r="G55" i="69" s="1"/>
  <c r="D57" i="68" a="1"/>
  <c r="D57" i="68" s="1"/>
  <c r="G57" i="69" a="1"/>
  <c r="G57" i="69" s="1"/>
  <c r="F56" i="68" a="1"/>
  <c r="F56" i="68" s="1"/>
  <c r="E65" i="69" a="1"/>
  <c r="E65" i="69" s="1"/>
  <c r="D64" i="69" a="1"/>
  <c r="D64" i="69" s="1"/>
  <c r="F63" i="69" a="1"/>
  <c r="F63" i="69" s="1"/>
  <c r="D65" i="69" a="1"/>
  <c r="D65" i="69" s="1"/>
  <c r="F64" i="69" a="1"/>
  <c r="F64" i="69" s="1"/>
  <c r="D65" i="68" a="1"/>
  <c r="D65" i="68" s="1"/>
  <c r="F64" i="68" a="1"/>
  <c r="F64" i="68" s="1"/>
  <c r="D64" i="68" a="1"/>
  <c r="D64" i="68" s="1"/>
  <c r="F63" i="68" a="1"/>
  <c r="F63" i="68" s="1"/>
  <c r="E65" i="68" a="1"/>
  <c r="E65" i="68" s="1"/>
  <c r="F55" i="67" a="1"/>
  <c r="F55" i="67" s="1"/>
  <c r="D57" i="67" a="1"/>
  <c r="D57" i="67" s="1"/>
  <c r="G57" i="67" a="1"/>
  <c r="G57" i="67" s="1"/>
  <c r="G55" i="67" a="1"/>
  <c r="G55" i="67" s="1"/>
  <c r="E63" i="67" a="1"/>
  <c r="E63" i="67" s="1"/>
  <c r="E65" i="67" a="1"/>
  <c r="E65" i="67" s="1"/>
  <c r="F63" i="67" a="1"/>
  <c r="F63" i="67" s="1"/>
  <c r="F64" i="67" a="1"/>
  <c r="F64" i="67" s="1"/>
  <c r="D65" i="67" a="1"/>
  <c r="D65" i="67" s="1"/>
  <c r="D64" i="67" a="1"/>
  <c r="D64" i="67" s="1"/>
  <c r="F58" i="67" a="1"/>
  <c r="F58" i="67" s="1"/>
  <c r="D58" i="67" a="1"/>
  <c r="D58" i="67" s="1"/>
  <c r="G56" i="67" a="1"/>
  <c r="G56" i="67" s="1"/>
  <c r="D56" i="67" a="1"/>
  <c r="D56" i="67" s="1"/>
  <c r="F56" i="67" a="1"/>
  <c r="F56" i="67" s="1"/>
  <c r="N18" i="62" a="1"/>
  <c r="N18" i="62" s="1"/>
  <c r="L12" i="62" a="1"/>
  <c r="L12" i="62" s="1"/>
  <c r="AB12" i="62" a="1"/>
  <c r="AB12" i="62" s="1"/>
  <c r="L11" i="22"/>
  <c r="Y18" i="62" s="1" a="1"/>
  <c r="Y18" i="62" s="1"/>
  <c r="AI16" i="62" l="1" a="1"/>
  <c r="AI16" i="62" s="1"/>
  <c r="Z19" i="62" a="1"/>
  <c r="Z19" i="62" s="1"/>
  <c r="AO19" i="62" a="1"/>
  <c r="AO19" i="62" s="1"/>
  <c r="AL10" i="62" a="1"/>
  <c r="AL10" i="62" s="1"/>
  <c r="Y20" i="62" a="1"/>
  <c r="Y20" i="62" s="1"/>
  <c r="Y16" i="62" a="1"/>
  <c r="Y16" i="62" s="1"/>
  <c r="AB13" i="62" a="1"/>
  <c r="AB13" i="62" s="1"/>
  <c r="AS15" i="62" a="1"/>
  <c r="AS15" i="62" s="1"/>
  <c r="X20" i="62" a="1"/>
  <c r="X20" i="62" s="1"/>
  <c r="K19" i="62" a="1"/>
  <c r="K19" i="62" s="1"/>
  <c r="G17" i="62" a="1"/>
  <c r="G17" i="62" s="1"/>
  <c r="I12" i="62" a="1"/>
  <c r="I12" i="62" s="1"/>
  <c r="T16" i="62" a="1"/>
  <c r="T16" i="62" s="1"/>
  <c r="W11" i="62" a="1"/>
  <c r="W11" i="62" s="1"/>
  <c r="AQ11" i="62" a="1"/>
  <c r="AQ11" i="62" s="1"/>
  <c r="Z13" i="62" a="1"/>
  <c r="Z13" i="62" s="1"/>
  <c r="AM18" i="62" a="1"/>
  <c r="AM18" i="62" s="1"/>
  <c r="AA16" i="62" a="1"/>
  <c r="AA16" i="62" s="1"/>
  <c r="AB11" i="62" a="1"/>
  <c r="AB11" i="62" s="1"/>
  <c r="K12" i="62" a="1"/>
  <c r="K12" i="62" s="1"/>
  <c r="AR14" i="62" a="1"/>
  <c r="AR14" i="62" s="1"/>
  <c r="X13" i="62" a="1"/>
  <c r="X13" i="62" s="1"/>
  <c r="AL15" i="62" a="1"/>
  <c r="AL15" i="62" s="1"/>
  <c r="H12" i="62" a="1"/>
  <c r="H12" i="62" s="1"/>
  <c r="L13" i="62" a="1"/>
  <c r="L13" i="62" s="1"/>
  <c r="AP16" i="62" a="1"/>
  <c r="AP16" i="62" s="1"/>
  <c r="M10" i="62" a="1"/>
  <c r="M10" i="62" s="1"/>
  <c r="E17" i="62" a="1"/>
  <c r="E17" i="62" s="1"/>
  <c r="AR16" i="62" a="1"/>
  <c r="AR16" i="62" s="1"/>
  <c r="H17" i="62" a="1"/>
  <c r="H17" i="62" s="1"/>
  <c r="AI19" i="62" a="1"/>
  <c r="AI19" i="62" s="1"/>
  <c r="AI17" i="62" a="1"/>
  <c r="AI17" i="62" s="1"/>
  <c r="U13" i="62" a="1"/>
  <c r="U13" i="62" s="1"/>
  <c r="N13" i="62" a="1"/>
  <c r="N13" i="62" s="1"/>
  <c r="H19" i="62" a="1"/>
  <c r="H19" i="62" s="1"/>
  <c r="AL20" i="62" a="1"/>
  <c r="AL20" i="62" s="1"/>
  <c r="K14" i="62" a="1"/>
  <c r="K14" i="62" s="1"/>
  <c r="X15" i="62" a="1"/>
  <c r="X15" i="62" s="1"/>
  <c r="M13" i="62" a="1"/>
  <c r="M13" i="62" s="1"/>
  <c r="O15" i="62" a="1"/>
  <c r="O15" i="62" s="1"/>
  <c r="AK13" i="62" a="1"/>
  <c r="AK13" i="62" s="1"/>
  <c r="W19" i="62" a="1"/>
  <c r="W19" i="62" s="1"/>
  <c r="AQ15" i="62" a="1"/>
  <c r="AQ15" i="62" s="1"/>
  <c r="AA20" i="62" a="1"/>
  <c r="AA20" i="62" s="1"/>
  <c r="T13" i="62" a="1"/>
  <c r="T13" i="62" s="1"/>
  <c r="AO10" i="62" a="1"/>
  <c r="AO10" i="62" s="1"/>
  <c r="AO15" i="62" a="1"/>
  <c r="AO15" i="62" s="1"/>
  <c r="L20" i="62" a="1"/>
  <c r="L20" i="62" s="1"/>
  <c r="AB10" i="62" a="1"/>
  <c r="AB10" i="62" s="1"/>
  <c r="AA19" i="62" a="1"/>
  <c r="AA19" i="62" s="1"/>
  <c r="G10" i="62" a="1"/>
  <c r="G10" i="62" s="1"/>
  <c r="AR13" i="62" a="1"/>
  <c r="AR13" i="62" s="1"/>
  <c r="T17" i="62" a="1"/>
  <c r="T17" i="62" s="1"/>
  <c r="V13" i="62" a="1"/>
  <c r="V13" i="62" s="1"/>
  <c r="K11" i="62" a="1"/>
  <c r="K11" i="62" s="1"/>
  <c r="O10" i="62" a="1"/>
  <c r="O10" i="62" s="1"/>
  <c r="AK10" i="62" a="1"/>
  <c r="AK10" i="62" s="1"/>
  <c r="N15" i="62" a="1"/>
  <c r="N15" i="62" s="1"/>
  <c r="AJ20" i="62" a="1"/>
  <c r="AJ20" i="62" s="1"/>
  <c r="AP10" i="62" a="1"/>
  <c r="AP10" i="62" s="1"/>
  <c r="U16" i="62" a="1"/>
  <c r="U16" i="62" s="1"/>
  <c r="AJ14" i="62" a="1"/>
  <c r="AJ14" i="62" s="1"/>
  <c r="AR12" i="62" a="1"/>
  <c r="AR12" i="62" s="1"/>
  <c r="F17" i="62" a="1"/>
  <c r="F17" i="62" s="1"/>
  <c r="H18" i="62" a="1"/>
  <c r="H18" i="62" s="1"/>
  <c r="G14" i="62" a="1"/>
  <c r="G14" i="62" s="1"/>
  <c r="AB15" i="62" a="1"/>
  <c r="AB15" i="62" s="1"/>
  <c r="U19" i="62" a="1"/>
  <c r="U19" i="62" s="1"/>
  <c r="J17" i="62" a="1"/>
  <c r="J17" i="62" s="1"/>
  <c r="AD12" i="62" a="1"/>
  <c r="AD12" i="62" s="1"/>
  <c r="AA14" i="62" a="1"/>
  <c r="AA14" i="62" s="1"/>
  <c r="T12" i="62" a="1"/>
  <c r="T12" i="62" s="1"/>
  <c r="AL17" i="62" a="1"/>
  <c r="AL17" i="62" s="1"/>
  <c r="AD10" i="62" a="1"/>
  <c r="AD10" i="62" s="1"/>
  <c r="W14" i="62" a="1"/>
  <c r="W14" i="62" s="1"/>
  <c r="AP15" i="62" a="1"/>
  <c r="AP15" i="62" s="1"/>
  <c r="Z10" i="62" a="1"/>
  <c r="Z10" i="62" s="1"/>
  <c r="AK14" i="62" a="1"/>
  <c r="AK14" i="62" s="1"/>
  <c r="AK17" i="62" a="1"/>
  <c r="AK17" i="62" s="1"/>
  <c r="AP18" i="62" a="1"/>
  <c r="AP18" i="62" s="1"/>
  <c r="L14" i="62" a="1"/>
  <c r="L14" i="62" s="1"/>
  <c r="K18" i="62" a="1"/>
  <c r="K18" i="62" s="1"/>
  <c r="X16" i="62" a="1"/>
  <c r="X16" i="62" s="1"/>
  <c r="AI11" i="62" a="1"/>
  <c r="AI11" i="62" s="1"/>
  <c r="T14" i="62" a="1"/>
  <c r="T14" i="62" s="1"/>
  <c r="AL11" i="62" a="1"/>
  <c r="AL11" i="62" s="1"/>
  <c r="AD11" i="62" a="1"/>
  <c r="AD11" i="62" s="1"/>
  <c r="AM12" i="62" a="1"/>
  <c r="AM12" i="62" s="1"/>
  <c r="AS11" i="62" a="1"/>
  <c r="AS11" i="62" s="1"/>
  <c r="Z18" i="62" a="1"/>
  <c r="Z18" i="62" s="1"/>
  <c r="H14" i="62" a="1"/>
  <c r="H14" i="62" s="1"/>
  <c r="J18" i="62" a="1"/>
  <c r="J18" i="62" s="1"/>
  <c r="O12" i="62" a="1"/>
  <c r="O12" i="62" s="1"/>
  <c r="E13" i="62" a="1"/>
  <c r="E13" i="62" s="1"/>
  <c r="AJ19" i="62" a="1"/>
  <c r="AJ19" i="62" s="1"/>
  <c r="K20" i="62" a="1"/>
  <c r="K20" i="62" s="1"/>
  <c r="AC16" i="62" a="1"/>
  <c r="AC16" i="62" s="1"/>
  <c r="L15" i="62" a="1"/>
  <c r="L15" i="62" s="1"/>
  <c r="AK15" i="62" a="1"/>
  <c r="AK15" i="62" s="1"/>
  <c r="H15" i="62" a="1"/>
  <c r="H15" i="62" s="1"/>
  <c r="AJ18" i="62" a="1"/>
  <c r="AJ18" i="62" s="1"/>
  <c r="N20" i="62" a="1"/>
  <c r="N20" i="62" s="1"/>
  <c r="O17" i="62" a="1"/>
  <c r="O17" i="62" s="1"/>
  <c r="AL19" i="62" a="1"/>
  <c r="AL19" i="62" s="1"/>
  <c r="V20" i="62" a="1"/>
  <c r="V20" i="62" s="1"/>
  <c r="V18" i="62" a="1"/>
  <c r="V18" i="62" s="1"/>
  <c r="Z15" i="62" a="1"/>
  <c r="Z15" i="62" s="1"/>
  <c r="AN10" i="62" a="1"/>
  <c r="AN10" i="62" s="1"/>
  <c r="J14" i="62" a="1"/>
  <c r="J14" i="62" s="1"/>
  <c r="E12" i="62" a="1"/>
  <c r="E12" i="62" s="1"/>
  <c r="AQ12" i="62" a="1"/>
  <c r="AQ12" i="62" s="1"/>
  <c r="N10" i="62" a="1"/>
  <c r="N10" i="62" s="1"/>
  <c r="W16" i="62" a="1"/>
  <c r="W16" i="62" s="1"/>
  <c r="I17" i="62" a="1"/>
  <c r="I17" i="62" s="1"/>
  <c r="V16" i="62" a="1"/>
  <c r="V16" i="62" s="1"/>
  <c r="X18" i="62" a="1"/>
  <c r="X18" i="62" s="1"/>
  <c r="M15" i="62" a="1"/>
  <c r="M15" i="62" s="1"/>
  <c r="F13" i="62" a="1"/>
  <c r="F13" i="62" s="1"/>
  <c r="X12" i="62" a="1"/>
  <c r="X12" i="62" s="1"/>
  <c r="AQ10" i="62" a="1"/>
  <c r="AQ10" i="62" s="1"/>
  <c r="AC11" i="62" a="1"/>
  <c r="AC11" i="62" s="1"/>
  <c r="AQ19" i="62" a="1"/>
  <c r="AQ19" i="62" s="1"/>
  <c r="AD15" i="62" a="1"/>
  <c r="AD15" i="62" s="1"/>
  <c r="AM20" i="62" a="1"/>
  <c r="AM20" i="62" s="1"/>
  <c r="G16" i="62" a="1"/>
  <c r="G16" i="62" s="1"/>
  <c r="O13" i="62" a="1"/>
  <c r="O13" i="62" s="1"/>
  <c r="T15" i="62" a="1"/>
  <c r="T15" i="62" s="1"/>
  <c r="I15" i="62" a="1"/>
  <c r="I15" i="62" s="1"/>
  <c r="T19" i="62" a="1"/>
  <c r="T19" i="62" s="1"/>
  <c r="M11" i="62" a="1"/>
  <c r="M11" i="62" s="1"/>
  <c r="O14" i="62" a="1"/>
  <c r="O14" i="62" s="1"/>
  <c r="E16" i="62" a="1"/>
  <c r="E16" i="62" s="1"/>
  <c r="V14" i="62" a="1"/>
  <c r="V14" i="62" s="1"/>
  <c r="AQ13" i="62" a="1"/>
  <c r="AQ13" i="62" s="1"/>
  <c r="AR11" i="62" a="1"/>
  <c r="AR11" i="62" s="1"/>
  <c r="Z12" i="62" a="1"/>
  <c r="Z12" i="62" s="1"/>
  <c r="U14" i="62" a="1"/>
  <c r="U14" i="62" s="1"/>
  <c r="O16" i="62" a="1"/>
  <c r="O16" i="62" s="1"/>
  <c r="AA13" i="62" a="1"/>
  <c r="AA13" i="62" s="1"/>
  <c r="AC13" i="62" a="1"/>
  <c r="AC13" i="62" s="1"/>
  <c r="G18" i="62" a="1"/>
  <c r="G18" i="62" s="1"/>
  <c r="AB16" i="62" a="1"/>
  <c r="AB16" i="62" s="1"/>
  <c r="AS18" i="62" a="1"/>
  <c r="AS18" i="62" s="1"/>
  <c r="U18" i="62" a="1"/>
  <c r="U18" i="62" s="1"/>
  <c r="AC15" i="62" a="1"/>
  <c r="AC15" i="62" s="1"/>
  <c r="V19" i="62" a="1"/>
  <c r="V19" i="62" s="1"/>
  <c r="AK20" i="62" a="1"/>
  <c r="AK20" i="62" s="1"/>
  <c r="J19" i="62" a="1"/>
  <c r="J19" i="62" s="1"/>
  <c r="I16" i="62" a="1"/>
  <c r="I16" i="62" s="1"/>
  <c r="AN13" i="62" a="1"/>
  <c r="AN13" i="62" s="1"/>
  <c r="Y17" i="62" a="1"/>
  <c r="Y17" i="62" s="1"/>
  <c r="AQ16" i="62" a="1"/>
  <c r="AQ16" i="62" s="1"/>
  <c r="M17" i="62" a="1"/>
  <c r="M17" i="62" s="1"/>
  <c r="M20" i="62" a="1"/>
  <c r="M20" i="62" s="1"/>
  <c r="M16" i="62" a="1"/>
  <c r="M16" i="62" s="1"/>
  <c r="AI13" i="62" a="1"/>
  <c r="AI13" i="62" s="1"/>
  <c r="T11" i="62" a="1"/>
  <c r="T11" i="62" s="1"/>
  <c r="AJ16" i="62" a="1"/>
  <c r="AJ16" i="62" s="1"/>
  <c r="U12" i="62" a="1"/>
  <c r="U12" i="62" s="1"/>
  <c r="W10" i="62" a="1"/>
  <c r="W10" i="62" s="1"/>
  <c r="AK19" i="62" a="1"/>
  <c r="AK19" i="62" s="1"/>
  <c r="AO17" i="62" a="1"/>
  <c r="AO17" i="62" s="1"/>
  <c r="AN12" i="62" a="1"/>
  <c r="AN12" i="62" s="1"/>
  <c r="G15" i="62" a="1"/>
  <c r="G15" i="62" s="1"/>
  <c r="AB19" i="62" a="1"/>
  <c r="AB19" i="62" s="1"/>
  <c r="F19" i="62" a="1"/>
  <c r="F19" i="62" s="1"/>
  <c r="W12" i="62" a="1"/>
  <c r="W12" i="62" s="1"/>
  <c r="AA11" i="62" a="1"/>
  <c r="AA11" i="62" s="1"/>
  <c r="AP12" i="62" a="1"/>
  <c r="AP12" i="62" s="1"/>
  <c r="Y10" i="62" a="1"/>
  <c r="Y10" i="62" s="1"/>
  <c r="AI20" i="62" a="1"/>
  <c r="AI20" i="62" s="1"/>
  <c r="V15" i="62" a="1"/>
  <c r="V15" i="62" s="1"/>
  <c r="G11" i="62" a="1"/>
  <c r="G11" i="62" s="1"/>
  <c r="AO20" i="62" a="1"/>
  <c r="AO20" i="62" s="1"/>
  <c r="AN14" i="62" a="1"/>
  <c r="AN14" i="62" s="1"/>
  <c r="Y19" i="62" a="1"/>
  <c r="Y19" i="62" s="1"/>
  <c r="AC20" i="62" a="1"/>
  <c r="AC20" i="62" s="1"/>
  <c r="AO18" i="62" a="1"/>
  <c r="AO18" i="62" s="1"/>
  <c r="AM19" i="62" a="1"/>
  <c r="AM19" i="62" s="1"/>
  <c r="G13" i="62" a="1"/>
  <c r="G13" i="62" s="1"/>
  <c r="AO14" i="62" a="1"/>
  <c r="AO14" i="62" s="1"/>
  <c r="AN16" i="62" a="1"/>
  <c r="AN16" i="62" s="1"/>
  <c r="H20" i="62" a="1"/>
  <c r="H20" i="62" s="1"/>
  <c r="AL18" i="62" a="1"/>
  <c r="AL18" i="62" s="1"/>
  <c r="AD16" i="62" a="1"/>
  <c r="AD16" i="62" s="1"/>
  <c r="X19" i="62" a="1"/>
  <c r="X19" i="62" s="1"/>
  <c r="W17" i="62" a="1"/>
  <c r="W17" i="62" s="1"/>
  <c r="AR18" i="62" a="1"/>
  <c r="AR18" i="62" s="1"/>
  <c r="AO13" i="62" a="1"/>
  <c r="AO13" i="62" s="1"/>
  <c r="J12" i="62" a="1"/>
  <c r="J12" i="62" s="1"/>
  <c r="W15" i="62" a="1"/>
  <c r="W15" i="62" s="1"/>
  <c r="F14" i="62" a="1"/>
  <c r="F14" i="62" s="1"/>
  <c r="AM16" i="62" a="1"/>
  <c r="AM16" i="62" s="1"/>
  <c r="AS19" i="62" a="1"/>
  <c r="AS19" i="62" s="1"/>
  <c r="F15" i="62" a="1"/>
  <c r="F15" i="62" s="1"/>
  <c r="K10" i="62" a="1"/>
  <c r="K10" i="62" s="1"/>
  <c r="L18" i="62" a="1"/>
  <c r="L18" i="62" s="1"/>
  <c r="AM10" i="62" a="1"/>
  <c r="AM10" i="62" s="1"/>
  <c r="Y11" i="62" a="1"/>
  <c r="Y11" i="62" s="1"/>
  <c r="AM15" i="62" a="1"/>
  <c r="AM15" i="62" s="1"/>
  <c r="M19" i="62" a="1"/>
  <c r="M19" i="62" s="1"/>
  <c r="AL12" i="62" a="1"/>
  <c r="AL12" i="62" s="1"/>
  <c r="E11" i="62" a="1"/>
  <c r="E11" i="62" s="1"/>
  <c r="AD19" i="62" a="1"/>
  <c r="AD19" i="62" s="1"/>
  <c r="H10" i="62" a="1"/>
  <c r="H10" i="62" s="1"/>
  <c r="AA10" i="62" a="1"/>
  <c r="AA10" i="62" s="1"/>
  <c r="Z17" i="62" a="1"/>
  <c r="Z17" i="62" s="1"/>
  <c r="H16" i="62" a="1"/>
  <c r="H16" i="62" s="1"/>
  <c r="U10" i="62" a="1"/>
  <c r="U10" i="62" s="1"/>
  <c r="AQ17" i="62" a="1"/>
  <c r="AQ17" i="62" s="1"/>
  <c r="AC14" i="62" a="1"/>
  <c r="AC14" i="62" s="1"/>
  <c r="AL16" i="62" a="1"/>
  <c r="AL16" i="62" s="1"/>
  <c r="AS14" i="62" a="1"/>
  <c r="AS14" i="62" s="1"/>
  <c r="K17" i="62" a="1"/>
  <c r="K17" i="62" s="1"/>
  <c r="N16" i="62" a="1"/>
  <c r="N16" i="62" s="1"/>
  <c r="L19" i="62" a="1"/>
  <c r="L19" i="62" s="1"/>
  <c r="AK11" i="62" a="1"/>
  <c r="AK11" i="62" s="1"/>
  <c r="J16" i="62" a="1"/>
  <c r="J16" i="62" s="1"/>
  <c r="J10" i="62" a="1"/>
  <c r="J10" i="62" s="1"/>
  <c r="AS12" i="62" a="1"/>
  <c r="AS12" i="62" s="1"/>
  <c r="Z11" i="62" a="1"/>
  <c r="Z11" i="62" s="1"/>
  <c r="AN11" i="62" a="1"/>
  <c r="AN11" i="62" s="1"/>
  <c r="AJ15" i="62" a="1"/>
  <c r="AJ15" i="62" s="1"/>
  <c r="AS10" i="62" a="1"/>
  <c r="AS10" i="62" s="1"/>
  <c r="AR17" i="62" a="1"/>
  <c r="AR17" i="62" s="1"/>
  <c r="M14" i="62" a="1"/>
  <c r="M14" i="62" s="1"/>
  <c r="Z14" i="62" a="1"/>
  <c r="Z14" i="62" s="1"/>
  <c r="O11" i="62" a="1"/>
  <c r="O11" i="62" s="1"/>
  <c r="E14" i="62" a="1"/>
  <c r="E14" i="62" s="1"/>
  <c r="V11" i="62" a="1"/>
  <c r="V11" i="62" s="1"/>
  <c r="U20" i="62" a="1"/>
  <c r="U20" i="62" s="1"/>
  <c r="AC17" i="62" a="1"/>
  <c r="AC17" i="62" s="1"/>
  <c r="AB17" i="62" a="1"/>
  <c r="AB17" i="62" s="1"/>
  <c r="AS16" i="62" a="1"/>
  <c r="AS16" i="62" s="1"/>
  <c r="AQ14" i="62" a="1"/>
  <c r="AQ14" i="62" s="1"/>
  <c r="AN18" i="62" a="1"/>
  <c r="AN18" i="62" s="1"/>
  <c r="E18" i="62" a="1"/>
  <c r="E18" i="62" s="1"/>
  <c r="AB14" i="62" a="1"/>
  <c r="AB14" i="62" s="1"/>
  <c r="AA12" i="62" a="1"/>
  <c r="AA12" i="62" s="1"/>
  <c r="T20" i="62" a="1"/>
  <c r="T20" i="62" s="1"/>
  <c r="AI18" i="62" a="1"/>
  <c r="AI18" i="62" s="1"/>
  <c r="J11" i="62" a="1"/>
  <c r="J11" i="62" s="1"/>
  <c r="AR10" i="62" a="1"/>
  <c r="AR10" i="62" s="1"/>
  <c r="AK18" i="62" a="1"/>
  <c r="AK18" i="62" s="1"/>
  <c r="N12" i="62" a="1"/>
  <c r="N12" i="62" s="1"/>
  <c r="V10" i="62" a="1"/>
  <c r="V10" i="62" s="1"/>
  <c r="K15" i="62" a="1"/>
  <c r="K15" i="62" s="1"/>
  <c r="AD18" i="62" a="1"/>
  <c r="AD18" i="62" s="1"/>
  <c r="AD14" i="62" a="1"/>
  <c r="AD14" i="62" s="1"/>
  <c r="G19" i="62" a="1"/>
  <c r="G19" i="62" s="1"/>
  <c r="N17" i="62" a="1"/>
  <c r="N17" i="62" s="1"/>
  <c r="AC10" i="62" a="1"/>
  <c r="AC10" i="62" s="1"/>
  <c r="F10" i="62" a="1"/>
  <c r="F10" i="62" s="1"/>
  <c r="AA18" i="62" a="1"/>
  <c r="AA18" i="62" s="1"/>
  <c r="AO12" i="62" a="1"/>
  <c r="AO12" i="62" s="1"/>
  <c r="AJ10" i="62" a="1"/>
  <c r="AJ10" i="62" s="1"/>
  <c r="AS13" i="62" a="1"/>
  <c r="AS13" i="62" s="1"/>
  <c r="E15" i="62" a="1"/>
  <c r="E15" i="62" s="1"/>
  <c r="I13" i="62" a="1"/>
  <c r="I13" i="62" s="1"/>
  <c r="AP13" i="62" a="1"/>
  <c r="AP13" i="62" s="1"/>
  <c r="X10" i="62" a="1"/>
  <c r="X10" i="62" s="1"/>
  <c r="J13" i="62" a="1"/>
  <c r="J13" i="62" s="1"/>
  <c r="AI12" i="62" a="1"/>
  <c r="AI12" i="62" s="1"/>
  <c r="AD13" i="62" a="1"/>
  <c r="AD13" i="62" s="1"/>
  <c r="AO11" i="62" a="1"/>
  <c r="AO11" i="62" s="1"/>
  <c r="AN20" i="62" a="1"/>
  <c r="AN20" i="62" s="1"/>
  <c r="T18" i="62" a="1"/>
  <c r="T18" i="62" s="1"/>
  <c r="E19" i="62" a="1"/>
  <c r="E19" i="62" s="1"/>
  <c r="I11" i="62" a="1"/>
  <c r="I11" i="62" s="1"/>
  <c r="F16" i="62" a="1"/>
  <c r="F16" i="62" s="1"/>
  <c r="Y13" i="62" a="1"/>
  <c r="Y13" i="62" s="1"/>
  <c r="U15" i="62" a="1"/>
  <c r="U15" i="62" s="1"/>
  <c r="AM13" i="62" a="1"/>
  <c r="AM13" i="62" s="1"/>
  <c r="F18" i="62" a="1"/>
  <c r="F18" i="62" s="1"/>
  <c r="AM17" i="62" a="1"/>
  <c r="AM17" i="62" s="1"/>
  <c r="F12" i="62" a="1"/>
  <c r="F12" i="62" s="1"/>
  <c r="AR15" i="62" a="1"/>
  <c r="AR15" i="62" s="1"/>
  <c r="AP20" i="62" a="1"/>
  <c r="AP20" i="62" s="1"/>
  <c r="I18" i="62" a="1"/>
  <c r="I18" i="62" s="1"/>
  <c r="AN19" i="62" a="1"/>
  <c r="AN19" i="62" s="1"/>
  <c r="AC12" i="62" a="1"/>
  <c r="AC12" i="62" s="1"/>
  <c r="AK16" i="62" a="1"/>
  <c r="AK16" i="62" s="1"/>
  <c r="G20" i="62" a="1"/>
  <c r="G20" i="62" s="1"/>
  <c r="J20" i="62" a="1"/>
  <c r="J20" i="62" s="1"/>
  <c r="AS17" i="62" a="1"/>
  <c r="AS17" i="62" s="1"/>
  <c r="E20" i="62" a="1"/>
  <c r="E20" i="62" s="1"/>
  <c r="AA15" i="62" a="1"/>
  <c r="AA15" i="62" s="1"/>
  <c r="Y14" i="62" a="1"/>
  <c r="Y14" i="62" s="1"/>
  <c r="AJ13" i="62" a="1"/>
  <c r="AJ13" i="62" s="1"/>
  <c r="U17" i="62" a="1"/>
  <c r="U17" i="62" s="1"/>
  <c r="AJ17" i="62" a="1"/>
  <c r="AJ17" i="62" s="1"/>
  <c r="AI14" i="62" a="1"/>
  <c r="AI14" i="62" s="1"/>
  <c r="L11" i="62" a="1"/>
  <c r="L11" i="62" s="1"/>
  <c r="O18" i="62" a="1"/>
  <c r="O18" i="62" s="1"/>
  <c r="I10" i="62" a="1"/>
  <c r="I10" i="62" s="1"/>
  <c r="AP11" i="62" a="1"/>
  <c r="AP11" i="62" s="1"/>
  <c r="AM11" i="62" a="1"/>
  <c r="AM11" i="62" s="1"/>
  <c r="K13" i="62" a="1"/>
  <c r="K13" i="62" s="1"/>
  <c r="F20" i="62" a="1"/>
  <c r="F20" i="62" s="1"/>
  <c r="AL14" i="62" a="1"/>
  <c r="AL14" i="62" s="1"/>
  <c r="X17" i="62" a="1"/>
  <c r="X17" i="62" s="1"/>
  <c r="AN17" i="62" a="1"/>
  <c r="AN17" i="62" s="1"/>
  <c r="AC18" i="62" a="1"/>
  <c r="AC18" i="62" s="1"/>
  <c r="AD17" i="62" a="1"/>
  <c r="AD17" i="62" s="1"/>
  <c r="M12" i="62" a="1"/>
  <c r="M12" i="62" s="1"/>
  <c r="W18" i="62" a="1"/>
  <c r="W18" i="62" s="1"/>
  <c r="L10" i="62" a="1"/>
  <c r="L10" i="62" s="1"/>
  <c r="Z20" i="62" a="1"/>
  <c r="Z20" i="62" s="1"/>
  <c r="AI15" i="62" a="1"/>
  <c r="AI15" i="62" s="1"/>
  <c r="H11" i="62" a="1"/>
  <c r="H11" i="62" s="1"/>
  <c r="AB20" i="62" a="1"/>
  <c r="AB20" i="62" s="1"/>
  <c r="I19" i="62" a="1"/>
  <c r="I19" i="62" s="1"/>
  <c r="W20" i="62" a="1"/>
  <c r="W20" i="62" s="1"/>
  <c r="O19" i="62" a="1"/>
  <c r="O19" i="62" s="1"/>
  <c r="L16" i="62" a="1"/>
  <c r="L16" i="62" s="1"/>
  <c r="X11" i="62" a="1"/>
  <c r="X11" i="62" s="1"/>
  <c r="AP14" i="62" a="1"/>
  <c r="AP14" i="62" s="1"/>
  <c r="I20" i="62" a="1"/>
  <c r="I20" i="62" s="1"/>
  <c r="AJ12" i="62" a="1"/>
  <c r="AJ12" i="62" s="1"/>
  <c r="AP19" i="62" a="1"/>
  <c r="AP19" i="62" s="1"/>
  <c r="V17" i="62" a="1"/>
  <c r="V17" i="62" s="1"/>
  <c r="AQ20" i="62" a="1"/>
  <c r="AQ20" i="62" s="1"/>
  <c r="AR20" i="62" a="1"/>
  <c r="AR20" i="62" s="1"/>
  <c r="N11" i="62" a="1"/>
  <c r="N11" i="62" s="1"/>
  <c r="N14" i="62" a="1"/>
  <c r="N14" i="62" s="1"/>
  <c r="Y12" i="62" a="1"/>
  <c r="Y12" i="62" s="1"/>
  <c r="L19" i="22"/>
  <c r="V19" i="69" s="1" a="1"/>
  <c r="V19" i="69" s="1"/>
  <c r="AB10" i="67" a="1"/>
  <c r="AB10" i="67" s="1"/>
  <c r="E16" i="67" a="1"/>
  <c r="E16" i="67" s="1"/>
  <c r="L17" i="22"/>
  <c r="AC15" i="67" s="1" a="1"/>
  <c r="AC15" i="67" s="1"/>
  <c r="L15" i="22"/>
  <c r="AJ16" i="65" s="1" a="1"/>
  <c r="AJ16" i="65" s="1"/>
  <c r="L13" i="22"/>
  <c r="AK18" i="61" s="1" a="1"/>
  <c r="AK18" i="61" s="1"/>
  <c r="L16" i="22"/>
  <c r="J17" i="66" s="1" a="1"/>
  <c r="J17" i="66" s="1"/>
  <c r="L14" i="22"/>
  <c r="X15" i="64" s="1" a="1"/>
  <c r="X15" i="64" s="1"/>
  <c r="L12" i="22"/>
  <c r="K19" i="63" s="1" a="1"/>
  <c r="K19" i="63" s="1"/>
  <c r="L18" i="22"/>
  <c r="I19" i="68" s="1" a="1"/>
  <c r="I19" i="68" s="1"/>
  <c r="L20" i="68" l="1" a="1"/>
  <c r="L20" i="68" s="1"/>
  <c r="AP10" i="61" a="1"/>
  <c r="AP10" i="61" s="1"/>
  <c r="AD14" i="63" a="1"/>
  <c r="AD14" i="63" s="1"/>
  <c r="F17" i="65" a="1"/>
  <c r="F17" i="65" s="1"/>
  <c r="W18" i="65" a="1"/>
  <c r="W18" i="65" s="1"/>
  <c r="T13" i="63" a="1"/>
  <c r="T13" i="63" s="1"/>
  <c r="AI19" i="63" a="1"/>
  <c r="AI19" i="63" s="1"/>
  <c r="G17" i="68" a="1"/>
  <c r="G17" i="68" s="1"/>
  <c r="AB20" i="61" a="1"/>
  <c r="AB20" i="61" s="1"/>
  <c r="N14" i="65" a="1"/>
  <c r="N14" i="65" s="1"/>
  <c r="AK17" i="65" a="1"/>
  <c r="AK17" i="65" s="1"/>
  <c r="AS19" i="65" a="1"/>
  <c r="AS19" i="65" s="1"/>
  <c r="G17" i="61" a="1"/>
  <c r="G17" i="61" s="1"/>
  <c r="AN18" i="63" a="1"/>
  <c r="AN18" i="63" s="1"/>
  <c r="Y18" i="61" a="1"/>
  <c r="Y18" i="61" s="1"/>
  <c r="AA10" i="65" a="1"/>
  <c r="AA10" i="65" s="1"/>
  <c r="J10" i="61" a="1"/>
  <c r="J10" i="61" s="1"/>
  <c r="Z18" i="61" a="1"/>
  <c r="Z18" i="61" s="1"/>
  <c r="AR10" i="63" a="1"/>
  <c r="AR10" i="63" s="1"/>
  <c r="AQ12" i="63" a="1"/>
  <c r="AQ12" i="63" s="1"/>
  <c r="AB20" i="63" a="1"/>
  <c r="AB20" i="63" s="1"/>
  <c r="AB19" i="68" a="1"/>
  <c r="AB19" i="68" s="1"/>
  <c r="AS16" i="63" a="1"/>
  <c r="AS16" i="63" s="1"/>
  <c r="AN19" i="63" a="1"/>
  <c r="AN19" i="63" s="1"/>
  <c r="L15" i="61" a="1"/>
  <c r="L15" i="61" s="1"/>
  <c r="I19" i="61" a="1"/>
  <c r="I19" i="61" s="1"/>
  <c r="AR18" i="65" a="1"/>
  <c r="AR18" i="65" s="1"/>
  <c r="AS10" i="67" a="1"/>
  <c r="AS10" i="67" s="1"/>
  <c r="W18" i="63" a="1"/>
  <c r="W18" i="63" s="1"/>
  <c r="AM12" i="63" a="1"/>
  <c r="AM12" i="63" s="1"/>
  <c r="AK16" i="61" a="1"/>
  <c r="AK16" i="61" s="1"/>
  <c r="AI20" i="61" a="1"/>
  <c r="AI20" i="61" s="1"/>
  <c r="K14" i="65" a="1"/>
  <c r="K14" i="65" s="1"/>
  <c r="AK16" i="63" a="1"/>
  <c r="AK16" i="63" s="1"/>
  <c r="F10" i="63" a="1"/>
  <c r="F10" i="63" s="1"/>
  <c r="W17" i="63" a="1"/>
  <c r="W17" i="63" s="1"/>
  <c r="L18" i="63" a="1"/>
  <c r="L18" i="63" s="1"/>
  <c r="E14" i="61" a="1"/>
  <c r="E14" i="61" s="1"/>
  <c r="X10" i="61" a="1"/>
  <c r="X10" i="61" s="1"/>
  <c r="AD15" i="65" a="1"/>
  <c r="AD15" i="65" s="1"/>
  <c r="AB13" i="63" a="1"/>
  <c r="AB13" i="63" s="1"/>
  <c r="E18" i="61" a="1"/>
  <c r="E18" i="61" s="1"/>
  <c r="AJ20" i="65" a="1"/>
  <c r="AJ20" i="65" s="1"/>
  <c r="L15" i="63" a="1"/>
  <c r="L15" i="63" s="1"/>
  <c r="AP15" i="61" a="1"/>
  <c r="AP15" i="61" s="1"/>
  <c r="AJ17" i="63" a="1"/>
  <c r="AJ17" i="63" s="1"/>
  <c r="AJ10" i="63" a="1"/>
  <c r="AJ10" i="63" s="1"/>
  <c r="L11" i="63" a="1"/>
  <c r="L11" i="63" s="1"/>
  <c r="AN12" i="63" a="1"/>
  <c r="AN12" i="63" s="1"/>
  <c r="K13" i="63" a="1"/>
  <c r="K13" i="63" s="1"/>
  <c r="AC17" i="67" a="1"/>
  <c r="AC17" i="67" s="1"/>
  <c r="AL20" i="67" a="1"/>
  <c r="AL20" i="67" s="1"/>
  <c r="AC16" i="63" a="1"/>
  <c r="AC16" i="63" s="1"/>
  <c r="Y11" i="63" a="1"/>
  <c r="Y11" i="63" s="1"/>
  <c r="U15" i="63" a="1"/>
  <c r="U15" i="63" s="1"/>
  <c r="AA15" i="63" a="1"/>
  <c r="AA15" i="63" s="1"/>
  <c r="AL14" i="63" a="1"/>
  <c r="AL14" i="63" s="1"/>
  <c r="AD17" i="63" a="1"/>
  <c r="AD17" i="63" s="1"/>
  <c r="I18" i="67" a="1"/>
  <c r="I18" i="67" s="1"/>
  <c r="V17" i="67" a="1"/>
  <c r="V17" i="67" s="1"/>
  <c r="Z18" i="63" a="1"/>
  <c r="Z18" i="63" s="1"/>
  <c r="M19" i="63" a="1"/>
  <c r="M19" i="63" s="1"/>
  <c r="J20" i="63" a="1"/>
  <c r="J20" i="63" s="1"/>
  <c r="AK10" i="63" a="1"/>
  <c r="AK10" i="63" s="1"/>
  <c r="AI18" i="63" a="1"/>
  <c r="AI18" i="63" s="1"/>
  <c r="AS17" i="63" a="1"/>
  <c r="AS17" i="63" s="1"/>
  <c r="Z10" i="63" a="1"/>
  <c r="Z10" i="63" s="1"/>
  <c r="T12" i="63" a="1"/>
  <c r="T12" i="63" s="1"/>
  <c r="F16" i="63" a="1"/>
  <c r="F16" i="63" s="1"/>
  <c r="AA14" i="63" a="1"/>
  <c r="AA14" i="63" s="1"/>
  <c r="AM19" i="61" a="1"/>
  <c r="AM19" i="61" s="1"/>
  <c r="V16" i="65" a="1"/>
  <c r="V16" i="65" s="1"/>
  <c r="AI20" i="67" a="1"/>
  <c r="AI20" i="67" s="1"/>
  <c r="Z15" i="67" a="1"/>
  <c r="Z15" i="67" s="1"/>
  <c r="Z12" i="63" a="1"/>
  <c r="Z12" i="63" s="1"/>
  <c r="AO10" i="63" a="1"/>
  <c r="AO10" i="63" s="1"/>
  <c r="AD11" i="63" a="1"/>
  <c r="AD11" i="63" s="1"/>
  <c r="N12" i="63" a="1"/>
  <c r="N12" i="63" s="1"/>
  <c r="AQ14" i="63" a="1"/>
  <c r="AQ14" i="63" s="1"/>
  <c r="V11" i="63" a="1"/>
  <c r="V11" i="63" s="1"/>
  <c r="AR10" i="67" a="1"/>
  <c r="AR10" i="67" s="1"/>
  <c r="L16" i="67" a="1"/>
  <c r="L16" i="67" s="1"/>
  <c r="AN10" i="63" a="1"/>
  <c r="AN10" i="63" s="1"/>
  <c r="AO17" i="63" a="1"/>
  <c r="AO17" i="63" s="1"/>
  <c r="AQ19" i="63" a="1"/>
  <c r="AQ19" i="63" s="1"/>
  <c r="H14" i="63" a="1"/>
  <c r="H14" i="63" s="1"/>
  <c r="AP16" i="63" a="1"/>
  <c r="AP16" i="63" s="1"/>
  <c r="AB15" i="63" a="1"/>
  <c r="AB15" i="63" s="1"/>
  <c r="AL11" i="63" a="1"/>
  <c r="AL11" i="63" s="1"/>
  <c r="Z19" i="63" a="1"/>
  <c r="Z19" i="63" s="1"/>
  <c r="K14" i="67" a="1"/>
  <c r="K14" i="67" s="1"/>
  <c r="E20" i="67" a="1"/>
  <c r="E20" i="67" s="1"/>
  <c r="L13" i="63" a="1"/>
  <c r="L13" i="63" s="1"/>
  <c r="AC12" i="63" a="1"/>
  <c r="AC12" i="63" s="1"/>
  <c r="K12" i="63" a="1"/>
  <c r="K12" i="63" s="1"/>
  <c r="E16" i="63" a="1"/>
  <c r="E16" i="63" s="1"/>
  <c r="G16" i="63" a="1"/>
  <c r="G16" i="63" s="1"/>
  <c r="AM18" i="63" a="1"/>
  <c r="AM18" i="63" s="1"/>
  <c r="L20" i="63" a="1"/>
  <c r="L20" i="63" s="1"/>
  <c r="M14" i="69" a="1"/>
  <c r="M14" i="69" s="1"/>
  <c r="V15" i="63" a="1"/>
  <c r="V15" i="63" s="1"/>
  <c r="AL15" i="63" a="1"/>
  <c r="AL15" i="63" s="1"/>
  <c r="AJ14" i="63" a="1"/>
  <c r="AJ14" i="63" s="1"/>
  <c r="AP10" i="63" a="1"/>
  <c r="AP10" i="63" s="1"/>
  <c r="V16" i="63" a="1"/>
  <c r="V16" i="63" s="1"/>
  <c r="V15" i="67" a="1"/>
  <c r="V15" i="67" s="1"/>
  <c r="F16" i="61" a="1"/>
  <c r="F16" i="61" s="1"/>
  <c r="X10" i="67" a="1"/>
  <c r="X10" i="67" s="1"/>
  <c r="G15" i="67" a="1"/>
  <c r="G15" i="67" s="1"/>
  <c r="Y17" i="67" a="1"/>
  <c r="Y17" i="67" s="1"/>
  <c r="V14" i="67" a="1"/>
  <c r="V14" i="67" s="1"/>
  <c r="AA19" i="67" a="1"/>
  <c r="AA19" i="67" s="1"/>
  <c r="V10" i="69" a="1"/>
  <c r="V10" i="69" s="1"/>
  <c r="AM16" i="61" a="1"/>
  <c r="AM16" i="61" s="1"/>
  <c r="AL14" i="67" a="1"/>
  <c r="AL14" i="67" s="1"/>
  <c r="AJ18" i="61" a="1"/>
  <c r="AJ18" i="61" s="1"/>
  <c r="M15" i="61" a="1"/>
  <c r="M15" i="61" s="1"/>
  <c r="AD12" i="67" a="1"/>
  <c r="AD12" i="67" s="1"/>
  <c r="AK14" i="69" a="1"/>
  <c r="AK14" i="69" s="1"/>
  <c r="AJ16" i="61" a="1"/>
  <c r="AJ16" i="61" s="1"/>
  <c r="AD17" i="61" a="1"/>
  <c r="AD17" i="61" s="1"/>
  <c r="AO10" i="61" a="1"/>
  <c r="AO10" i="61" s="1"/>
  <c r="AN12" i="67" a="1"/>
  <c r="AN12" i="67" s="1"/>
  <c r="AC17" i="68" a="1"/>
  <c r="AC17" i="68" s="1"/>
  <c r="J14" i="61" a="1"/>
  <c r="J14" i="61" s="1"/>
  <c r="AO20" i="61" a="1"/>
  <c r="AO20" i="61" s="1"/>
  <c r="AJ16" i="67" a="1"/>
  <c r="AJ16" i="67" s="1"/>
  <c r="AQ20" i="67" a="1"/>
  <c r="AQ20" i="67" s="1"/>
  <c r="G16" i="69" a="1"/>
  <c r="G16" i="69" s="1"/>
  <c r="AJ17" i="66" a="1"/>
  <c r="AJ17" i="66" s="1"/>
  <c r="K17" i="68" a="1"/>
  <c r="K17" i="68" s="1"/>
  <c r="AR20" i="61" a="1"/>
  <c r="AR20" i="61" s="1"/>
  <c r="Y19" i="67" a="1"/>
  <c r="Y19" i="67" s="1"/>
  <c r="N14" i="61" a="1"/>
  <c r="N14" i="61" s="1"/>
  <c r="Z15" i="61" a="1"/>
  <c r="Z15" i="61" s="1"/>
  <c r="AA16" i="61" a="1"/>
  <c r="AA16" i="61" s="1"/>
  <c r="AR18" i="67" a="1"/>
  <c r="AR18" i="67" s="1"/>
  <c r="H18" i="67" a="1"/>
  <c r="H18" i="67" s="1"/>
  <c r="G20" i="68" a="1"/>
  <c r="G20" i="68" s="1"/>
  <c r="F10" i="61" a="1"/>
  <c r="F10" i="61" s="1"/>
  <c r="W12" i="61" a="1"/>
  <c r="W12" i="61" s="1"/>
  <c r="AC16" i="61" a="1"/>
  <c r="AC16" i="61" s="1"/>
  <c r="AD18" i="67" a="1"/>
  <c r="AD18" i="67" s="1"/>
  <c r="AN20" i="67" a="1"/>
  <c r="AN20" i="67" s="1"/>
  <c r="H17" i="67" a="1"/>
  <c r="H17" i="67" s="1"/>
  <c r="AQ19" i="67" a="1"/>
  <c r="AQ19" i="67" s="1"/>
  <c r="AA10" i="67" a="1"/>
  <c r="AA10" i="67" s="1"/>
  <c r="F18" i="69" a="1"/>
  <c r="F18" i="69" s="1"/>
  <c r="AD19" i="61" a="1"/>
  <c r="AD19" i="61" s="1"/>
  <c r="F18" i="67" a="1"/>
  <c r="F18" i="67" s="1"/>
  <c r="W18" i="61" a="1"/>
  <c r="W18" i="61" s="1"/>
  <c r="F10" i="64" a="1"/>
  <c r="F10" i="64" s="1"/>
  <c r="K19" i="61" a="1"/>
  <c r="K19" i="61" s="1"/>
  <c r="AJ20" i="67" a="1"/>
  <c r="AJ20" i="67" s="1"/>
  <c r="W20" i="64" a="1"/>
  <c r="W20" i="64" s="1"/>
  <c r="F20" i="61" a="1"/>
  <c r="F20" i="61" s="1"/>
  <c r="X19" i="61" a="1"/>
  <c r="X19" i="61" s="1"/>
  <c r="AN16" i="67" a="1"/>
  <c r="AN16" i="67" s="1"/>
  <c r="Z10" i="67" a="1"/>
  <c r="Z10" i="67" s="1"/>
  <c r="U19" i="64" a="1"/>
  <c r="U19" i="64" s="1"/>
  <c r="AI16" i="61" a="1"/>
  <c r="AI16" i="61" s="1"/>
  <c r="AJ17" i="61" a="1"/>
  <c r="AJ17" i="61" s="1"/>
  <c r="AP18" i="67" a="1"/>
  <c r="AP18" i="67" s="1"/>
  <c r="H20" i="68" a="1"/>
  <c r="H20" i="68" s="1"/>
  <c r="AS12" i="63" a="1"/>
  <c r="AS12" i="63" s="1"/>
  <c r="O12" i="63" a="1"/>
  <c r="O12" i="63" s="1"/>
  <c r="AS18" i="63" a="1"/>
  <c r="AS18" i="63" s="1"/>
  <c r="W19" i="63" a="1"/>
  <c r="W19" i="63" s="1"/>
  <c r="AP12" i="64" a="1"/>
  <c r="AP12" i="64" s="1"/>
  <c r="H17" i="61" a="1"/>
  <c r="H17" i="61" s="1"/>
  <c r="X18" i="61" a="1"/>
  <c r="X18" i="61" s="1"/>
  <c r="AA19" i="61" a="1"/>
  <c r="AA19" i="61" s="1"/>
  <c r="X20" i="61" a="1"/>
  <c r="X20" i="61" s="1"/>
  <c r="T17" i="61" a="1"/>
  <c r="T17" i="61" s="1"/>
  <c r="T16" i="65" a="1"/>
  <c r="T16" i="65" s="1"/>
  <c r="V19" i="65" a="1"/>
  <c r="V19" i="65" s="1"/>
  <c r="AA16" i="67" a="1"/>
  <c r="AA16" i="67" s="1"/>
  <c r="AD14" i="67" a="1"/>
  <c r="AD14" i="67" s="1"/>
  <c r="M16" i="67" a="1"/>
  <c r="M16" i="67" s="1"/>
  <c r="U19" i="67" a="1"/>
  <c r="U19" i="67" s="1"/>
  <c r="AI19" i="67" a="1"/>
  <c r="AI19" i="67" s="1"/>
  <c r="AJ12" i="67" a="1"/>
  <c r="AJ12" i="67" s="1"/>
  <c r="AC17" i="69" a="1"/>
  <c r="AC17" i="69" s="1"/>
  <c r="G14" i="61" a="1"/>
  <c r="G14" i="61" s="1"/>
  <c r="W17" i="67" a="1"/>
  <c r="W17" i="67" s="1"/>
  <c r="G10" i="68" a="1"/>
  <c r="G10" i="68" s="1"/>
  <c r="AP16" i="61" a="1"/>
  <c r="AP16" i="61" s="1"/>
  <c r="AO14" i="67" a="1"/>
  <c r="AO14" i="67" s="1"/>
  <c r="X15" i="61" a="1"/>
  <c r="X15" i="61" s="1"/>
  <c r="T20" i="67" a="1"/>
  <c r="T20" i="67" s="1"/>
  <c r="AN14" i="67" a="1"/>
  <c r="AN14" i="67" s="1"/>
  <c r="T20" i="68" a="1"/>
  <c r="T20" i="68" s="1"/>
  <c r="G15" i="64" a="1"/>
  <c r="G15" i="64" s="1"/>
  <c r="O17" i="61" a="1"/>
  <c r="O17" i="61" s="1"/>
  <c r="Y12" i="61" a="1"/>
  <c r="Y12" i="61" s="1"/>
  <c r="U10" i="61" a="1"/>
  <c r="U10" i="61" s="1"/>
  <c r="AI18" i="61" a="1"/>
  <c r="AI18" i="61" s="1"/>
  <c r="O15" i="61" a="1"/>
  <c r="O15" i="61" s="1"/>
  <c r="AB12" i="67" a="1"/>
  <c r="AB12" i="67" s="1"/>
  <c r="AM16" i="67" a="1"/>
  <c r="AM16" i="67" s="1"/>
  <c r="G18" i="67" a="1"/>
  <c r="G18" i="67" s="1"/>
  <c r="AO17" i="67" a="1"/>
  <c r="AO17" i="67" s="1"/>
  <c r="K20" i="67" a="1"/>
  <c r="K20" i="67" s="1"/>
  <c r="AD19" i="67" a="1"/>
  <c r="AD19" i="67" s="1"/>
  <c r="T19" i="69" a="1"/>
  <c r="T19" i="69" s="1"/>
  <c r="L12" i="68" a="1"/>
  <c r="L12" i="68" s="1"/>
  <c r="AO12" i="61" a="1"/>
  <c r="AO12" i="61" s="1"/>
  <c r="AJ17" i="67" a="1"/>
  <c r="AJ17" i="67" s="1"/>
  <c r="AN18" i="68" a="1"/>
  <c r="AN18" i="68" s="1"/>
  <c r="F18" i="61" a="1"/>
  <c r="F18" i="61" s="1"/>
  <c r="AO17" i="61" a="1"/>
  <c r="AO17" i="61" s="1"/>
  <c r="Y20" i="67" a="1"/>
  <c r="Y20" i="67" s="1"/>
  <c r="AJ20" i="68" a="1"/>
  <c r="AJ20" i="68" s="1"/>
  <c r="J16" i="64" a="1"/>
  <c r="J16" i="64" s="1"/>
  <c r="N12" i="61" a="1"/>
  <c r="N12" i="61" s="1"/>
  <c r="N15" i="61" a="1"/>
  <c r="N15" i="61" s="1"/>
  <c r="AL12" i="61" a="1"/>
  <c r="AL12" i="61" s="1"/>
  <c r="F15" i="61" a="1"/>
  <c r="F15" i="61" s="1"/>
  <c r="G16" i="61" a="1"/>
  <c r="G16" i="61" s="1"/>
  <c r="AL15" i="65" a="1"/>
  <c r="AL15" i="65" s="1"/>
  <c r="AS17" i="65" a="1"/>
  <c r="AS17" i="65" s="1"/>
  <c r="Z18" i="67" a="1"/>
  <c r="Z18" i="67" s="1"/>
  <c r="V20" i="67" a="1"/>
  <c r="V20" i="67" s="1"/>
  <c r="Z12" i="67" a="1"/>
  <c r="Z12" i="67" s="1"/>
  <c r="AN19" i="67" a="1"/>
  <c r="AN19" i="67" s="1"/>
  <c r="AS15" i="67" a="1"/>
  <c r="AS15" i="67" s="1"/>
  <c r="AC10" i="67" a="1"/>
  <c r="AC10" i="67" s="1"/>
  <c r="U16" i="69" a="1"/>
  <c r="U16" i="69" s="1"/>
  <c r="I16" i="67" a="1"/>
  <c r="I16" i="67" s="1"/>
  <c r="X18" i="67" a="1"/>
  <c r="X18" i="67" s="1"/>
  <c r="G14" i="67" a="1"/>
  <c r="G14" i="67" s="1"/>
  <c r="H19" i="67" a="1"/>
  <c r="H19" i="67" s="1"/>
  <c r="AR16" i="67" a="1"/>
  <c r="AR16" i="67" s="1"/>
  <c r="H17" i="68" a="1"/>
  <c r="H17" i="68" s="1"/>
  <c r="G10" i="63" a="1"/>
  <c r="G10" i="63" s="1"/>
  <c r="AI20" i="63" a="1"/>
  <c r="AI20" i="63" s="1"/>
  <c r="Y17" i="63" a="1"/>
  <c r="Y17" i="63" s="1"/>
  <c r="AB17" i="63" a="1"/>
  <c r="AB17" i="63" s="1"/>
  <c r="AO12" i="63" a="1"/>
  <c r="AO12" i="63" s="1"/>
  <c r="N20" i="63" a="1"/>
  <c r="N20" i="63" s="1"/>
  <c r="X17" i="61" a="1"/>
  <c r="X17" i="61" s="1"/>
  <c r="L16" i="61" a="1"/>
  <c r="L16" i="61" s="1"/>
  <c r="AL15" i="61" a="1"/>
  <c r="AL15" i="61" s="1"/>
  <c r="O10" i="61" a="1"/>
  <c r="O10" i="61" s="1"/>
  <c r="Y16" i="61" a="1"/>
  <c r="Y16" i="61" s="1"/>
  <c r="AQ15" i="61" a="1"/>
  <c r="AQ15" i="61" s="1"/>
  <c r="AR10" i="65" a="1"/>
  <c r="AR10" i="65" s="1"/>
  <c r="AK14" i="67" a="1"/>
  <c r="AK14" i="67" s="1"/>
  <c r="V18" i="67" a="1"/>
  <c r="V18" i="67" s="1"/>
  <c r="AA18" i="67" a="1"/>
  <c r="AA18" i="67" s="1"/>
  <c r="W20" i="67" a="1"/>
  <c r="W20" i="67" s="1"/>
  <c r="AK10" i="67" a="1"/>
  <c r="AK10" i="67" s="1"/>
  <c r="M12" i="67" a="1"/>
  <c r="M12" i="67" s="1"/>
  <c r="AK20" i="69" a="1"/>
  <c r="AK20" i="69" s="1"/>
  <c r="J14" i="68" a="1"/>
  <c r="J14" i="68" s="1"/>
  <c r="O14" i="68" a="1"/>
  <c r="O14" i="68" s="1"/>
  <c r="J16" i="68" a="1"/>
  <c r="J16" i="68" s="1"/>
  <c r="T16" i="68" a="1"/>
  <c r="T16" i="68" s="1"/>
  <c r="AJ18" i="64" a="1"/>
  <c r="AJ18" i="64" s="1"/>
  <c r="AO17" i="66" a="1"/>
  <c r="AO17" i="66" s="1"/>
  <c r="J12" i="61" a="1"/>
  <c r="J12" i="61" s="1"/>
  <c r="AB19" i="61" a="1"/>
  <c r="AB19" i="61" s="1"/>
  <c r="AJ12" i="61" a="1"/>
  <c r="AJ12" i="61" s="1"/>
  <c r="AR14" i="65" a="1"/>
  <c r="AR14" i="65" s="1"/>
  <c r="AC20" i="65" a="1"/>
  <c r="AC20" i="65" s="1"/>
  <c r="AB20" i="65" a="1"/>
  <c r="AB20" i="65" s="1"/>
  <c r="AC17" i="65" a="1"/>
  <c r="AC17" i="65" s="1"/>
  <c r="J17" i="65" a="1"/>
  <c r="J17" i="65" s="1"/>
  <c r="AB17" i="65" a="1"/>
  <c r="AB17" i="65" s="1"/>
  <c r="N15" i="69" a="1"/>
  <c r="N15" i="69" s="1"/>
  <c r="AC14" i="69" a="1"/>
  <c r="AC14" i="69" s="1"/>
  <c r="AI20" i="69" a="1"/>
  <c r="AI20" i="69" s="1"/>
  <c r="U15" i="69" a="1"/>
  <c r="U15" i="69" s="1"/>
  <c r="F18" i="68" a="1"/>
  <c r="F18" i="68" s="1"/>
  <c r="AD17" i="68" a="1"/>
  <c r="AD17" i="68" s="1"/>
  <c r="AL10" i="68" a="1"/>
  <c r="AL10" i="68" s="1"/>
  <c r="AK15" i="64" a="1"/>
  <c r="AK15" i="64" s="1"/>
  <c r="AR14" i="64" a="1"/>
  <c r="AR14" i="64" s="1"/>
  <c r="AN19" i="66" a="1"/>
  <c r="AN19" i="66" s="1"/>
  <c r="AC18" i="61" a="1"/>
  <c r="AC18" i="61" s="1"/>
  <c r="L10" i="61" a="1"/>
  <c r="L10" i="61" s="1"/>
  <c r="X16" i="61" a="1"/>
  <c r="X16" i="61" s="1"/>
  <c r="Y17" i="61" a="1"/>
  <c r="Y17" i="61" s="1"/>
  <c r="H16" i="61" a="1"/>
  <c r="H16" i="61" s="1"/>
  <c r="AL16" i="61" a="1"/>
  <c r="AL16" i="61" s="1"/>
  <c r="K20" i="61" a="1"/>
  <c r="K20" i="61" s="1"/>
  <c r="M19" i="61" a="1"/>
  <c r="M19" i="61" s="1"/>
  <c r="AS14" i="61" a="1"/>
  <c r="AS14" i="61" s="1"/>
  <c r="AM10" i="65" a="1"/>
  <c r="AM10" i="65" s="1"/>
  <c r="Y14" i="65" a="1"/>
  <c r="Y14" i="65" s="1"/>
  <c r="M15" i="65" a="1"/>
  <c r="M15" i="65" s="1"/>
  <c r="AC18" i="65" a="1"/>
  <c r="AC18" i="65" s="1"/>
  <c r="X16" i="65" a="1"/>
  <c r="X16" i="65" s="1"/>
  <c r="AO15" i="65" a="1"/>
  <c r="AO15" i="65" s="1"/>
  <c r="AM17" i="69" a="1"/>
  <c r="AM17" i="69" s="1"/>
  <c r="Z10" i="69" a="1"/>
  <c r="Z10" i="69" s="1"/>
  <c r="W18" i="69" a="1"/>
  <c r="W18" i="69" s="1"/>
  <c r="J19" i="69" a="1"/>
  <c r="J19" i="69" s="1"/>
  <c r="AR15" i="68" a="1"/>
  <c r="AR15" i="68" s="1"/>
  <c r="E15" i="68" a="1"/>
  <c r="E15" i="68" s="1"/>
  <c r="O15" i="65" a="1"/>
  <c r="O15" i="65" s="1"/>
  <c r="W17" i="68" a="1"/>
  <c r="W17" i="68" s="1"/>
  <c r="AR20" i="68" a="1"/>
  <c r="AR20" i="68" s="1"/>
  <c r="AP15" i="64" a="1"/>
  <c r="AP15" i="64" s="1"/>
  <c r="G19" i="68" a="1"/>
  <c r="G19" i="68" s="1"/>
  <c r="L14" i="68" a="1"/>
  <c r="L14" i="68" s="1"/>
  <c r="AP18" i="68" a="1"/>
  <c r="AP18" i="68" s="1"/>
  <c r="AC10" i="64" a="1"/>
  <c r="AC10" i="64" s="1"/>
  <c r="T15" i="61" a="1"/>
  <c r="T15" i="61" s="1"/>
  <c r="AK20" i="65" a="1"/>
  <c r="AK20" i="65" s="1"/>
  <c r="I16" i="65" a="1"/>
  <c r="I16" i="65" s="1"/>
  <c r="Z12" i="65" a="1"/>
  <c r="Z12" i="65" s="1"/>
  <c r="H19" i="65" a="1"/>
  <c r="H19" i="65" s="1"/>
  <c r="AD14" i="65" a="1"/>
  <c r="AD14" i="65" s="1"/>
  <c r="J12" i="65" a="1"/>
  <c r="J12" i="65" s="1"/>
  <c r="N12" i="69" a="1"/>
  <c r="N12" i="69" s="1"/>
  <c r="AP18" i="69" a="1"/>
  <c r="AP18" i="69" s="1"/>
  <c r="N18" i="69" a="1"/>
  <c r="N18" i="69" s="1"/>
  <c r="AA16" i="69" a="1"/>
  <c r="AA16" i="69" s="1"/>
  <c r="AR12" i="68" a="1"/>
  <c r="AR12" i="68" s="1"/>
  <c r="AM12" i="68" a="1"/>
  <c r="AM12" i="68" s="1"/>
  <c r="AL17" i="68" a="1"/>
  <c r="AL17" i="68" s="1"/>
  <c r="AN17" i="68" a="1"/>
  <c r="AN17" i="68" s="1"/>
  <c r="AA16" i="68" a="1"/>
  <c r="AA16" i="68" s="1"/>
  <c r="AK10" i="68" a="1"/>
  <c r="AK10" i="68" s="1"/>
  <c r="AJ17" i="68" a="1"/>
  <c r="AJ17" i="68" s="1"/>
  <c r="K19" i="68" a="1"/>
  <c r="K19" i="68" s="1"/>
  <c r="AK20" i="64" a="1"/>
  <c r="AK20" i="64" s="1"/>
  <c r="AK20" i="61" a="1"/>
  <c r="AK20" i="61" s="1"/>
  <c r="M16" i="61" a="1"/>
  <c r="M16" i="61" s="1"/>
  <c r="AC17" i="61" a="1"/>
  <c r="AC17" i="61" s="1"/>
  <c r="I12" i="61" a="1"/>
  <c r="I12" i="61" s="1"/>
  <c r="AA19" i="68" a="1"/>
  <c r="AA19" i="68" s="1"/>
  <c r="AL16" i="68" a="1"/>
  <c r="AL16" i="68" s="1"/>
  <c r="Z15" i="68" a="1"/>
  <c r="Z15" i="68" s="1"/>
  <c r="Z19" i="64" a="1"/>
  <c r="Z19" i="64" s="1"/>
  <c r="G20" i="64" a="1"/>
  <c r="G20" i="64" s="1"/>
  <c r="J18" i="61" a="1"/>
  <c r="J18" i="61" s="1"/>
  <c r="Y19" i="61" a="1"/>
  <c r="Y19" i="61" s="1"/>
  <c r="W10" i="61" a="1"/>
  <c r="W10" i="61" s="1"/>
  <c r="AC15" i="61" a="1"/>
  <c r="AC15" i="61" s="1"/>
  <c r="T14" i="61" a="1"/>
  <c r="T14" i="61" s="1"/>
  <c r="AQ20" i="61" a="1"/>
  <c r="AQ20" i="61" s="1"/>
  <c r="N17" i="61" a="1"/>
  <c r="N17" i="61" s="1"/>
  <c r="AR14" i="61" a="1"/>
  <c r="AR14" i="61" s="1"/>
  <c r="K17" i="61" a="1"/>
  <c r="K17" i="61" s="1"/>
  <c r="Z12" i="61" a="1"/>
  <c r="Z12" i="61" s="1"/>
  <c r="AQ12" i="61" a="1"/>
  <c r="AQ12" i="61" s="1"/>
  <c r="AP12" i="61" a="1"/>
  <c r="AP12" i="61" s="1"/>
  <c r="AL17" i="65" a="1"/>
  <c r="AL17" i="65" s="1"/>
  <c r="E12" i="65" a="1"/>
  <c r="E12" i="65" s="1"/>
  <c r="X17" i="65" a="1"/>
  <c r="X17" i="65" s="1"/>
  <c r="AI16" i="65" a="1"/>
  <c r="AI16" i="65" s="1"/>
  <c r="L19" i="65" a="1"/>
  <c r="L19" i="65" s="1"/>
  <c r="W14" i="65" a="1"/>
  <c r="W14" i="65" s="1"/>
  <c r="AN17" i="67" a="1"/>
  <c r="AN17" i="67" s="1"/>
  <c r="AB19" i="67" a="1"/>
  <c r="AB19" i="67" s="1"/>
  <c r="AN10" i="67" a="1"/>
  <c r="AN10" i="67" s="1"/>
  <c r="M20" i="67" a="1"/>
  <c r="M20" i="67" s="1"/>
  <c r="F12" i="67" a="1"/>
  <c r="F12" i="67" s="1"/>
  <c r="I19" i="67" a="1"/>
  <c r="I19" i="67" s="1"/>
  <c r="E17" i="67" a="1"/>
  <c r="E17" i="67" s="1"/>
  <c r="AM18" i="69" a="1"/>
  <c r="AM18" i="69" s="1"/>
  <c r="F14" i="69" a="1"/>
  <c r="F14" i="69" s="1"/>
  <c r="AN12" i="69" a="1"/>
  <c r="AN12" i="69" s="1"/>
  <c r="AC20" i="69" a="1"/>
  <c r="AC20" i="69" s="1"/>
  <c r="E14" i="68" a="1"/>
  <c r="E14" i="68" s="1"/>
  <c r="AL19" i="68" a="1"/>
  <c r="AL19" i="68" s="1"/>
  <c r="J10" i="68" a="1"/>
  <c r="J10" i="68" s="1"/>
  <c r="AC14" i="68" a="1"/>
  <c r="AC14" i="68" s="1"/>
  <c r="AN10" i="68" a="1"/>
  <c r="AN10" i="68" s="1"/>
  <c r="V20" i="68" a="1"/>
  <c r="V20" i="68" s="1"/>
  <c r="F19" i="68" a="1"/>
  <c r="F19" i="68" s="1"/>
  <c r="V16" i="61" a="1"/>
  <c r="V16" i="61" s="1"/>
  <c r="AR16" i="61" a="1"/>
  <c r="AR16" i="61" s="1"/>
  <c r="AN17" i="61" a="1"/>
  <c r="AN17" i="61" s="1"/>
  <c r="AM18" i="61" a="1"/>
  <c r="AM18" i="61" s="1"/>
  <c r="Y12" i="68" a="1"/>
  <c r="Y12" i="68" s="1"/>
  <c r="I20" i="68" a="1"/>
  <c r="I20" i="68" s="1"/>
  <c r="G14" i="68" a="1"/>
  <c r="G14" i="68" s="1"/>
  <c r="AC18" i="68" a="1"/>
  <c r="AC18" i="68" s="1"/>
  <c r="AP20" i="68" a="1"/>
  <c r="AP20" i="68" s="1"/>
  <c r="X20" i="68" a="1"/>
  <c r="X20" i="68" s="1"/>
  <c r="AP10" i="68" a="1"/>
  <c r="AP10" i="68" s="1"/>
  <c r="G15" i="68" a="1"/>
  <c r="G15" i="68" s="1"/>
  <c r="T17" i="68" a="1"/>
  <c r="T17" i="68" s="1"/>
  <c r="N18" i="63" a="1"/>
  <c r="N18" i="63" s="1"/>
  <c r="W16" i="63" a="1"/>
  <c r="W16" i="63" s="1"/>
  <c r="AN17" i="63" a="1"/>
  <c r="AN17" i="63" s="1"/>
  <c r="V10" i="63" a="1"/>
  <c r="V10" i="63" s="1"/>
  <c r="O15" i="63" a="1"/>
  <c r="O15" i="63" s="1"/>
  <c r="AD15" i="63" a="1"/>
  <c r="AD15" i="63" s="1"/>
  <c r="Z14" i="63" a="1"/>
  <c r="Z14" i="63" s="1"/>
  <c r="K17" i="64" a="1"/>
  <c r="K17" i="64" s="1"/>
  <c r="AI18" i="64" a="1"/>
  <c r="AI18" i="64" s="1"/>
  <c r="AO15" i="61" a="1"/>
  <c r="AO15" i="61" s="1"/>
  <c r="J19" i="61" a="1"/>
  <c r="J19" i="61" s="1"/>
  <c r="AD15" i="61" a="1"/>
  <c r="AD15" i="61" s="1"/>
  <c r="K18" i="61" a="1"/>
  <c r="K18" i="61" s="1"/>
  <c r="AI19" i="61" a="1"/>
  <c r="AI19" i="61" s="1"/>
  <c r="Z10" i="61" a="1"/>
  <c r="Z10" i="61" s="1"/>
  <c r="G18" i="61" a="1"/>
  <c r="G18" i="61" s="1"/>
  <c r="AO18" i="61" a="1"/>
  <c r="AO18" i="61" s="1"/>
  <c r="AA18" i="61" a="1"/>
  <c r="AA18" i="61" s="1"/>
  <c r="AL19" i="61" a="1"/>
  <c r="AL19" i="61" s="1"/>
  <c r="M10" i="61" a="1"/>
  <c r="M10" i="61" s="1"/>
  <c r="E12" i="61" a="1"/>
  <c r="E12" i="61" s="1"/>
  <c r="F10" i="65" a="1"/>
  <c r="F10" i="65" s="1"/>
  <c r="AS16" i="65" a="1"/>
  <c r="AS16" i="65" s="1"/>
  <c r="AS12" i="65" a="1"/>
  <c r="AS12" i="65" s="1"/>
  <c r="E18" i="65" a="1"/>
  <c r="E18" i="65" s="1"/>
  <c r="U12" i="65" a="1"/>
  <c r="U12" i="65" s="1"/>
  <c r="AQ19" i="65" a="1"/>
  <c r="AQ19" i="65" s="1"/>
  <c r="AL15" i="67" a="1"/>
  <c r="AL15" i="67" s="1"/>
  <c r="H20" i="67" a="1"/>
  <c r="H20" i="67" s="1"/>
  <c r="L12" i="67" a="1"/>
  <c r="L12" i="67" s="1"/>
  <c r="X15" i="67" a="1"/>
  <c r="X15" i="67" s="1"/>
  <c r="K10" i="67" a="1"/>
  <c r="K10" i="67" s="1"/>
  <c r="N10" i="67" a="1"/>
  <c r="N10" i="67" s="1"/>
  <c r="G17" i="67" a="1"/>
  <c r="G17" i="67" s="1"/>
  <c r="AP20" i="67" a="1"/>
  <c r="AP20" i="67" s="1"/>
  <c r="AD15" i="67" a="1"/>
  <c r="AD15" i="67" s="1"/>
  <c r="AL20" i="69" a="1"/>
  <c r="AL20" i="69" s="1"/>
  <c r="W10" i="69" a="1"/>
  <c r="W10" i="69" s="1"/>
  <c r="E20" i="69" a="1"/>
  <c r="E20" i="69" s="1"/>
  <c r="AR14" i="69" a="1"/>
  <c r="AR14" i="69" s="1"/>
  <c r="AI19" i="68" a="1"/>
  <c r="AI19" i="68" s="1"/>
  <c r="I16" i="68" a="1"/>
  <c r="I16" i="68" s="1"/>
  <c r="AL15" i="68" a="1"/>
  <c r="AL15" i="68" s="1"/>
  <c r="AR18" i="68" a="1"/>
  <c r="AR18" i="68" s="1"/>
  <c r="AN19" i="68" a="1"/>
  <c r="AN19" i="68" s="1"/>
  <c r="E12" i="64" a="1"/>
  <c r="E12" i="64" s="1"/>
  <c r="M19" i="64" a="1"/>
  <c r="M19" i="64" s="1"/>
  <c r="AJ20" i="61" a="1"/>
  <c r="AJ20" i="61" s="1"/>
  <c r="K12" i="61" a="1"/>
  <c r="K12" i="61" s="1"/>
  <c r="W15" i="61" a="1"/>
  <c r="W15" i="61" s="1"/>
  <c r="N16" i="61" a="1"/>
  <c r="N16" i="61" s="1"/>
  <c r="V14" i="61" a="1"/>
  <c r="V14" i="61" s="1"/>
  <c r="H19" i="61" a="1"/>
  <c r="H19" i="61" s="1"/>
  <c r="AO17" i="65" a="1"/>
  <c r="AO17" i="65" s="1"/>
  <c r="AB19" i="65" a="1"/>
  <c r="AB19" i="65" s="1"/>
  <c r="U15" i="65" a="1"/>
  <c r="U15" i="65" s="1"/>
  <c r="X12" i="65" a="1"/>
  <c r="X12" i="65" s="1"/>
  <c r="J19" i="65" a="1"/>
  <c r="J19" i="65" s="1"/>
  <c r="AN17" i="65" a="1"/>
  <c r="AN17" i="65" s="1"/>
  <c r="AO15" i="69" a="1"/>
  <c r="AO15" i="69" s="1"/>
  <c r="J18" i="69" a="1"/>
  <c r="J18" i="69" s="1"/>
  <c r="AS14" i="69" a="1"/>
  <c r="AS14" i="69" s="1"/>
  <c r="G17" i="69" a="1"/>
  <c r="G17" i="69" s="1"/>
  <c r="AP19" i="67" a="1"/>
  <c r="AP19" i="67" s="1"/>
  <c r="AK20" i="67" a="1"/>
  <c r="AK20" i="67" s="1"/>
  <c r="X20" i="67" a="1"/>
  <c r="X20" i="67" s="1"/>
  <c r="M20" i="69" a="1"/>
  <c r="M20" i="69" s="1"/>
  <c r="AA18" i="69" a="1"/>
  <c r="AA18" i="69" s="1"/>
  <c r="T17" i="69" a="1"/>
  <c r="T17" i="69" s="1"/>
  <c r="V18" i="69" a="1"/>
  <c r="V18" i="69" s="1"/>
  <c r="AP16" i="68" a="1"/>
  <c r="AP16" i="68" s="1"/>
  <c r="E20" i="68" a="1"/>
  <c r="E20" i="68" s="1"/>
  <c r="M14" i="68" a="1"/>
  <c r="M14" i="68" s="1"/>
  <c r="H12" i="68" a="1"/>
  <c r="H12" i="68" s="1"/>
  <c r="AN14" i="65" a="1"/>
  <c r="AN14" i="65" s="1"/>
  <c r="M10" i="65" a="1"/>
  <c r="M10" i="65" s="1"/>
  <c r="Z14" i="65" a="1"/>
  <c r="Z14" i="65" s="1"/>
  <c r="H17" i="69" a="1"/>
  <c r="H17" i="69" s="1"/>
  <c r="J17" i="68" a="1"/>
  <c r="J17" i="68" s="1"/>
  <c r="AK20" i="68" a="1"/>
  <c r="AK20" i="68" s="1"/>
  <c r="N14" i="68" a="1"/>
  <c r="N14" i="68" s="1"/>
  <c r="AL20" i="68" a="1"/>
  <c r="AL20" i="68" s="1"/>
  <c r="L16" i="68" a="1"/>
  <c r="L16" i="68" s="1"/>
  <c r="AI14" i="68" a="1"/>
  <c r="AI14" i="68" s="1"/>
  <c r="U17" i="68" a="1"/>
  <c r="U17" i="68" s="1"/>
  <c r="W12" i="63" a="1"/>
  <c r="W12" i="63" s="1"/>
  <c r="O10" i="63" a="1"/>
  <c r="O10" i="63" s="1"/>
  <c r="U10" i="63" a="1"/>
  <c r="U10" i="63" s="1"/>
  <c r="AM11" i="63" a="1"/>
  <c r="AM11" i="63" s="1"/>
  <c r="E16" i="64" a="1"/>
  <c r="E16" i="64" s="1"/>
  <c r="AL10" i="64" a="1"/>
  <c r="AL10" i="64" s="1"/>
  <c r="AI14" i="66" a="1"/>
  <c r="AI14" i="66" s="1"/>
  <c r="AR15" i="61" a="1"/>
  <c r="AR15" i="61" s="1"/>
  <c r="AJ10" i="61" a="1"/>
  <c r="AJ10" i="61" s="1"/>
  <c r="V15" i="61" a="1"/>
  <c r="V15" i="61" s="1"/>
  <c r="V10" i="61" a="1"/>
  <c r="V10" i="61" s="1"/>
  <c r="V19" i="61" a="1"/>
  <c r="V19" i="61" s="1"/>
  <c r="AR10" i="61" a="1"/>
  <c r="AR10" i="61" s="1"/>
  <c r="AN10" i="61" a="1"/>
  <c r="AN10" i="61" s="1"/>
  <c r="I18" i="61" a="1"/>
  <c r="I18" i="61" s="1"/>
  <c r="V20" i="61" a="1"/>
  <c r="V20" i="61" s="1"/>
  <c r="AI15" i="61" a="1"/>
  <c r="AI15" i="61" s="1"/>
  <c r="U16" i="61" a="1"/>
  <c r="U16" i="61" s="1"/>
  <c r="E16" i="61" a="1"/>
  <c r="E16" i="61" s="1"/>
  <c r="K19" i="65" a="1"/>
  <c r="K19" i="65" s="1"/>
  <c r="AO19" i="65" a="1"/>
  <c r="AO19" i="65" s="1"/>
  <c r="H10" i="65" a="1"/>
  <c r="H10" i="65" s="1"/>
  <c r="AO10" i="65" a="1"/>
  <c r="AO10" i="65" s="1"/>
  <c r="AB10" i="65" a="1"/>
  <c r="AB10" i="65" s="1"/>
  <c r="G10" i="67" a="1"/>
  <c r="G10" i="67" s="1"/>
  <c r="M10" i="67" a="1"/>
  <c r="M10" i="67" s="1"/>
  <c r="F10" i="67" a="1"/>
  <c r="F10" i="67" s="1"/>
  <c r="AJ14" i="67" a="1"/>
  <c r="AJ14" i="67" s="1"/>
  <c r="AR12" i="67" a="1"/>
  <c r="AR12" i="67" s="1"/>
  <c r="J18" i="67" a="1"/>
  <c r="J18" i="67" s="1"/>
  <c r="K17" i="67" a="1"/>
  <c r="K17" i="67" s="1"/>
  <c r="T18" i="69" a="1"/>
  <c r="T18" i="69" s="1"/>
  <c r="F10" i="69" a="1"/>
  <c r="F10" i="69" s="1"/>
  <c r="O17" i="69" a="1"/>
  <c r="O17" i="69" s="1"/>
  <c r="K14" i="69" a="1"/>
  <c r="K14" i="69" s="1"/>
  <c r="AL12" i="69" a="1"/>
  <c r="AL12" i="69" s="1"/>
  <c r="AS19" i="68" a="1"/>
  <c r="AS19" i="68" s="1"/>
  <c r="J20" i="68" a="1"/>
  <c r="J20" i="68" s="1"/>
  <c r="Y16" i="68" a="1"/>
  <c r="Y16" i="68" s="1"/>
  <c r="I17" i="66" a="1"/>
  <c r="I17" i="66" s="1"/>
  <c r="T12" i="65" a="1"/>
  <c r="T12" i="65" s="1"/>
  <c r="AI14" i="65" a="1"/>
  <c r="AI14" i="65" s="1"/>
  <c r="J14" i="65" a="1"/>
  <c r="J14" i="65" s="1"/>
  <c r="AB16" i="69" a="1"/>
  <c r="AB16" i="69" s="1"/>
  <c r="AD14" i="69" a="1"/>
  <c r="AD14" i="69" s="1"/>
  <c r="F16" i="68" a="1"/>
  <c r="F16" i="68" s="1"/>
  <c r="F20" i="68" a="1"/>
  <c r="F20" i="68" s="1"/>
  <c r="AC16" i="68" a="1"/>
  <c r="AC16" i="68" s="1"/>
  <c r="AJ19" i="68" a="1"/>
  <c r="AJ19" i="68" s="1"/>
  <c r="K14" i="68" a="1"/>
  <c r="K14" i="68" s="1"/>
  <c r="E12" i="68" a="1"/>
  <c r="E12" i="68" s="1"/>
  <c r="T12" i="68" a="1"/>
  <c r="T12" i="68" s="1"/>
  <c r="N17" i="63" a="1"/>
  <c r="N17" i="63" s="1"/>
  <c r="W14" i="63" a="1"/>
  <c r="W14" i="63" s="1"/>
  <c r="AB16" i="63" a="1"/>
  <c r="AB16" i="63" s="1"/>
  <c r="AN14" i="64" a="1"/>
  <c r="AN14" i="64" s="1"/>
  <c r="AR17" i="61" a="1"/>
  <c r="AR17" i="61" s="1"/>
  <c r="AN16" i="61" a="1"/>
  <c r="AN16" i="61" s="1"/>
  <c r="L19" i="61" a="1"/>
  <c r="L19" i="61" s="1"/>
  <c r="AK14" i="61" a="1"/>
  <c r="AK14" i="61" s="1"/>
  <c r="AC14" i="61" a="1"/>
  <c r="AC14" i="61" s="1"/>
  <c r="K15" i="61" a="1"/>
  <c r="K15" i="61" s="1"/>
  <c r="N10" i="61" a="1"/>
  <c r="N10" i="61" s="1"/>
  <c r="AP20" i="61" a="1"/>
  <c r="AP20" i="61" s="1"/>
  <c r="U17" i="61" a="1"/>
  <c r="U17" i="61" s="1"/>
  <c r="L14" i="61" a="1"/>
  <c r="L14" i="61" s="1"/>
  <c r="O14" i="61" a="1"/>
  <c r="O14" i="61" s="1"/>
  <c r="T16" i="61" a="1"/>
  <c r="T16" i="61" s="1"/>
  <c r="M12" i="65" a="1"/>
  <c r="M12" i="65" s="1"/>
  <c r="I15" i="65" a="1"/>
  <c r="I15" i="65" s="1"/>
  <c r="Z19" i="65" a="1"/>
  <c r="Z19" i="65" s="1"/>
  <c r="G17" i="65" a="1"/>
  <c r="G17" i="65" s="1"/>
  <c r="L14" i="65" a="1"/>
  <c r="L14" i="65" s="1"/>
  <c r="AB14" i="67" a="1"/>
  <c r="AB14" i="67" s="1"/>
  <c r="Y16" i="67" a="1"/>
  <c r="Y16" i="67" s="1"/>
  <c r="AL16" i="67" a="1"/>
  <c r="AL16" i="67" s="1"/>
  <c r="U12" i="67" a="1"/>
  <c r="U12" i="67" s="1"/>
  <c r="T15" i="67" a="1"/>
  <c r="T15" i="67" s="1"/>
  <c r="AJ15" i="67" a="1"/>
  <c r="AJ15" i="67" s="1"/>
  <c r="AL18" i="67" a="1"/>
  <c r="AL18" i="67" s="1"/>
  <c r="J19" i="67" a="1"/>
  <c r="J19" i="67" s="1"/>
  <c r="AJ14" i="69" a="1"/>
  <c r="AJ14" i="69" s="1"/>
  <c r="H12" i="69" a="1"/>
  <c r="H12" i="69" s="1"/>
  <c r="V16" i="69" a="1"/>
  <c r="V16" i="69" s="1"/>
  <c r="G20" i="69" a="1"/>
  <c r="G20" i="69" s="1"/>
  <c r="E16" i="68" a="1"/>
  <c r="E16" i="68" s="1"/>
  <c r="J12" i="68" a="1"/>
  <c r="J12" i="68" s="1"/>
  <c r="Y19" i="68" a="1"/>
  <c r="Y19" i="68" s="1"/>
  <c r="Y20" i="68" a="1"/>
  <c r="Y20" i="68" s="1"/>
  <c r="N18" i="68" a="1"/>
  <c r="N18" i="68" s="1"/>
  <c r="AS12" i="68" a="1"/>
  <c r="AS12" i="68" s="1"/>
  <c r="K20" i="68" a="1"/>
  <c r="K20" i="68" s="1"/>
  <c r="U12" i="68" a="1"/>
  <c r="U12" i="68" s="1"/>
  <c r="H18" i="68" a="1"/>
  <c r="H18" i="68" s="1"/>
  <c r="M17" i="68" a="1"/>
  <c r="M17" i="68" s="1"/>
  <c r="U20" i="68" a="1"/>
  <c r="U20" i="68" s="1"/>
  <c r="AC15" i="68" a="1"/>
  <c r="AC15" i="68" s="1"/>
  <c r="M10" i="68" a="1"/>
  <c r="M10" i="68" s="1"/>
  <c r="O17" i="68" a="1"/>
  <c r="O17" i="68" s="1"/>
  <c r="AM15" i="68" a="1"/>
  <c r="AM15" i="68" s="1"/>
  <c r="AN14" i="68" a="1"/>
  <c r="AN14" i="68" s="1"/>
  <c r="AS18" i="68" a="1"/>
  <c r="AS18" i="68" s="1"/>
  <c r="AC20" i="68" a="1"/>
  <c r="AC20" i="68" s="1"/>
  <c r="AB20" i="68" a="1"/>
  <c r="AB20" i="68" s="1"/>
  <c r="Z20" i="68" a="1"/>
  <c r="Z20" i="68" s="1"/>
  <c r="I17" i="68" a="1"/>
  <c r="I17" i="68" s="1"/>
  <c r="Z14" i="68" a="1"/>
  <c r="Z14" i="68" s="1"/>
  <c r="E19" i="68" a="1"/>
  <c r="E19" i="68" s="1"/>
  <c r="X18" i="68" a="1"/>
  <c r="X18" i="68" s="1"/>
  <c r="Z19" i="68" a="1"/>
  <c r="Z19" i="68" s="1"/>
  <c r="AO18" i="68" a="1"/>
  <c r="AO18" i="68" s="1"/>
  <c r="V16" i="68" a="1"/>
  <c r="V16" i="68" s="1"/>
  <c r="N20" i="68" a="1"/>
  <c r="N20" i="68" s="1"/>
  <c r="F10" i="68" a="1"/>
  <c r="F10" i="68" s="1"/>
  <c r="I15" i="68" a="1"/>
  <c r="I15" i="68" s="1"/>
  <c r="AO12" i="68" a="1"/>
  <c r="AO12" i="68" s="1"/>
  <c r="V19" i="68" a="1"/>
  <c r="V19" i="68" s="1"/>
  <c r="AA20" i="68" a="1"/>
  <c r="AA20" i="68" s="1"/>
  <c r="AM20" i="68" a="1"/>
  <c r="AM20" i="68" s="1"/>
  <c r="X17" i="68" a="1"/>
  <c r="X17" i="68" s="1"/>
  <c r="N16" i="68" a="1"/>
  <c r="N16" i="68" s="1"/>
  <c r="O12" i="68" a="1"/>
  <c r="O12" i="68" s="1"/>
  <c r="AB10" i="68" a="1"/>
  <c r="AB10" i="68" s="1"/>
  <c r="AM10" i="68" a="1"/>
  <c r="AM10" i="68" s="1"/>
  <c r="N17" i="68" a="1"/>
  <c r="N17" i="68" s="1"/>
  <c r="O16" i="68" a="1"/>
  <c r="O16" i="68" s="1"/>
  <c r="K10" i="68" a="1"/>
  <c r="K10" i="68" s="1"/>
  <c r="X12" i="68" a="1"/>
  <c r="X12" i="68" s="1"/>
  <c r="U14" i="68" a="1"/>
  <c r="U14" i="68" s="1"/>
  <c r="H10" i="68" a="1"/>
  <c r="H10" i="68" s="1"/>
  <c r="AA12" i="68" a="1"/>
  <c r="AA12" i="68" s="1"/>
  <c r="AO10" i="68" a="1"/>
  <c r="AO10" i="68" s="1"/>
  <c r="AA15" i="68" a="1"/>
  <c r="AA15" i="68" s="1"/>
  <c r="AL12" i="68" a="1"/>
  <c r="AL12" i="68" s="1"/>
  <c r="AQ12" i="68" a="1"/>
  <c r="AQ12" i="68" s="1"/>
  <c r="AR17" i="68" a="1"/>
  <c r="AR17" i="68" s="1"/>
  <c r="AN12" i="68" a="1"/>
  <c r="AN12" i="68" s="1"/>
  <c r="W18" i="68" a="1"/>
  <c r="W18" i="68" s="1"/>
  <c r="AC12" i="68" a="1"/>
  <c r="AC12" i="68" s="1"/>
  <c r="AJ18" i="68" a="1"/>
  <c r="AJ18" i="68" s="1"/>
  <c r="W19" i="68" a="1"/>
  <c r="W19" i="68" s="1"/>
  <c r="AD12" i="68" a="1"/>
  <c r="AD12" i="68" s="1"/>
  <c r="F15" i="68" a="1"/>
  <c r="F15" i="68" s="1"/>
  <c r="W15" i="68" a="1"/>
  <c r="W15" i="68" s="1"/>
  <c r="W10" i="68" a="1"/>
  <c r="W10" i="68" s="1"/>
  <c r="AA14" i="68" a="1"/>
  <c r="AA14" i="68" s="1"/>
  <c r="W14" i="68" a="1"/>
  <c r="W14" i="68" s="1"/>
  <c r="L19" i="68" a="1"/>
  <c r="L19" i="68" s="1"/>
  <c r="AL14" i="68" a="1"/>
  <c r="AL14" i="68" s="1"/>
  <c r="AR14" i="68" a="1"/>
  <c r="AR14" i="68" s="1"/>
  <c r="AK16" i="68" a="1"/>
  <c r="AK16" i="68" s="1"/>
  <c r="H16" i="68" a="1"/>
  <c r="H16" i="68" s="1"/>
  <c r="AB17" i="68" a="1"/>
  <c r="AB17" i="68" s="1"/>
  <c r="V10" i="68" a="1"/>
  <c r="V10" i="68" s="1"/>
  <c r="L18" i="68" a="1"/>
  <c r="L18" i="68" s="1"/>
  <c r="X15" i="68" a="1"/>
  <c r="X15" i="68" s="1"/>
  <c r="AO17" i="68" a="1"/>
  <c r="AO17" i="68" s="1"/>
  <c r="J18" i="68" a="1"/>
  <c r="J18" i="68" s="1"/>
  <c r="N12" i="68" a="1"/>
  <c r="N12" i="68" s="1"/>
  <c r="T14" i="68" a="1"/>
  <c r="T14" i="68" s="1"/>
  <c r="Y14" i="68" a="1"/>
  <c r="Y14" i="68" s="1"/>
  <c r="AO20" i="68" a="1"/>
  <c r="AO20" i="68" s="1"/>
  <c r="AJ15" i="68" a="1"/>
  <c r="AJ15" i="68" s="1"/>
  <c r="AD15" i="68" a="1"/>
  <c r="AD15" i="68" s="1"/>
  <c r="AN16" i="68" a="1"/>
  <c r="AN16" i="68" s="1"/>
  <c r="T19" i="68" a="1"/>
  <c r="T19" i="68" s="1"/>
  <c r="AK18" i="68" a="1"/>
  <c r="AK18" i="68" s="1"/>
  <c r="J19" i="68" a="1"/>
  <c r="J19" i="68" s="1"/>
  <c r="AQ17" i="68" a="1"/>
  <c r="AQ17" i="68" s="1"/>
  <c r="AM16" i="68" a="1"/>
  <c r="AM16" i="68" s="1"/>
  <c r="O19" i="68" a="1"/>
  <c r="O19" i="68" s="1"/>
  <c r="Y10" i="68" a="1"/>
  <c r="Y10" i="68" s="1"/>
  <c r="AQ16" i="68" a="1"/>
  <c r="AQ16" i="68" s="1"/>
  <c r="AK19" i="68" a="1"/>
  <c r="AK19" i="68" s="1"/>
  <c r="O18" i="68" a="1"/>
  <c r="O18" i="68" s="1"/>
  <c r="M19" i="68" a="1"/>
  <c r="M19" i="68" s="1"/>
  <c r="W16" i="68" a="1"/>
  <c r="W16" i="68" s="1"/>
  <c r="AK17" i="68" a="1"/>
  <c r="AK17" i="68" s="1"/>
  <c r="O15" i="68" a="1"/>
  <c r="O15" i="68" s="1"/>
  <c r="I12" i="68" a="1"/>
  <c r="I12" i="68" s="1"/>
  <c r="U18" i="68" a="1"/>
  <c r="U18" i="68" s="1"/>
  <c r="T15" i="68" a="1"/>
  <c r="T15" i="68" s="1"/>
  <c r="AD18" i="68" a="1"/>
  <c r="AD18" i="68" s="1"/>
  <c r="AP12" i="68" a="1"/>
  <c r="AP12" i="68" s="1"/>
  <c r="V18" i="68" a="1"/>
  <c r="V18" i="68" s="1"/>
  <c r="AJ16" i="68" a="1"/>
  <c r="AJ16" i="68" s="1"/>
  <c r="I10" i="68" a="1"/>
  <c r="I10" i="68" s="1"/>
  <c r="F14" i="68" a="1"/>
  <c r="F14" i="68" s="1"/>
  <c r="AJ14" i="68" a="1"/>
  <c r="AJ14" i="68" s="1"/>
  <c r="AD14" i="68" a="1"/>
  <c r="AD14" i="68" s="1"/>
  <c r="AM18" i="68" a="1"/>
  <c r="AM18" i="68" s="1"/>
  <c r="Z10" i="68" a="1"/>
  <c r="Z10" i="68" s="1"/>
  <c r="AP14" i="68" a="1"/>
  <c r="AP14" i="68" s="1"/>
  <c r="F12" i="68" a="1"/>
  <c r="F12" i="68" s="1"/>
  <c r="V17" i="68" a="1"/>
  <c r="V17" i="68" s="1"/>
  <c r="U15" i="68" a="1"/>
  <c r="U15" i="68" s="1"/>
  <c r="AI16" i="68" a="1"/>
  <c r="AI16" i="68" s="1"/>
  <c r="X10" i="68" a="1"/>
  <c r="X10" i="68" s="1"/>
  <c r="N10" i="68" a="1"/>
  <c r="N10" i="68" s="1"/>
  <c r="Y18" i="68" a="1"/>
  <c r="Y18" i="68" s="1"/>
  <c r="AB15" i="68" a="1"/>
  <c r="AB15" i="68" s="1"/>
  <c r="AR16" i="68" a="1"/>
  <c r="AR16" i="68" s="1"/>
  <c r="AQ10" i="68" a="1"/>
  <c r="AQ10" i="68" s="1"/>
  <c r="AB14" i="68" a="1"/>
  <c r="AB14" i="68" s="1"/>
  <c r="F17" i="68" a="1"/>
  <c r="F17" i="68" s="1"/>
  <c r="AQ20" i="68" a="1"/>
  <c r="AQ20" i="68" s="1"/>
  <c r="AD19" i="68" a="1"/>
  <c r="AD19" i="68" s="1"/>
  <c r="AO14" i="68" a="1"/>
  <c r="AO14" i="68" s="1"/>
  <c r="AC10" i="68" a="1"/>
  <c r="AC10" i="68" s="1"/>
  <c r="O10" i="68" a="1"/>
  <c r="O10" i="68" s="1"/>
  <c r="AI15" i="68" a="1"/>
  <c r="AI15" i="68" s="1"/>
  <c r="AQ14" i="68" a="1"/>
  <c r="AQ14" i="68" s="1"/>
  <c r="E17" i="68" a="1"/>
  <c r="E17" i="68" s="1"/>
  <c r="AS10" i="68" a="1"/>
  <c r="AS10" i="68" s="1"/>
  <c r="Z18" i="68" a="1"/>
  <c r="Z18" i="68" s="1"/>
  <c r="G18" i="68" a="1"/>
  <c r="G18" i="68" s="1"/>
  <c r="AQ15" i="68" a="1"/>
  <c r="AQ15" i="68" s="1"/>
  <c r="X16" i="68" a="1"/>
  <c r="X16" i="68" s="1"/>
  <c r="U16" i="68" a="1"/>
  <c r="U16" i="68" s="1"/>
  <c r="AD16" i="68" a="1"/>
  <c r="AD16" i="68" s="1"/>
  <c r="U19" i="68" a="1"/>
  <c r="U19" i="68" s="1"/>
  <c r="AB12" i="68" a="1"/>
  <c r="AB12" i="68" s="1"/>
  <c r="K15" i="68" a="1"/>
  <c r="K15" i="68" s="1"/>
  <c r="AS17" i="68" a="1"/>
  <c r="AS17" i="68" s="1"/>
  <c r="AJ10" i="68" a="1"/>
  <c r="AJ10" i="68" s="1"/>
  <c r="G16" i="68" a="1"/>
  <c r="G16" i="68" s="1"/>
  <c r="AB16" i="68" a="1"/>
  <c r="AB16" i="68" s="1"/>
  <c r="M12" i="68" a="1"/>
  <c r="M12" i="68" s="1"/>
  <c r="L10" i="68" a="1"/>
  <c r="L10" i="68" s="1"/>
  <c r="AL18" i="68" a="1"/>
  <c r="AL18" i="68" s="1"/>
  <c r="H19" i="68" a="1"/>
  <c r="H19" i="68" s="1"/>
  <c r="AK14" i="68" a="1"/>
  <c r="AK14" i="68" s="1"/>
  <c r="T18" i="68" a="1"/>
  <c r="T18" i="68" s="1"/>
  <c r="N15" i="68" a="1"/>
  <c r="N15" i="68" s="1"/>
  <c r="AD10" i="68" a="1"/>
  <c r="AD10" i="68" s="1"/>
  <c r="Z12" i="68" a="1"/>
  <c r="Z12" i="68" s="1"/>
  <c r="AK15" i="68" a="1"/>
  <c r="AK15" i="68" s="1"/>
  <c r="AM17" i="68" a="1"/>
  <c r="AM17" i="68" s="1"/>
  <c r="AO15" i="68" a="1"/>
  <c r="AO15" i="68" s="1"/>
  <c r="AS16" i="68" a="1"/>
  <c r="AS16" i="68" s="1"/>
  <c r="L15" i="68" a="1"/>
  <c r="L15" i="68" s="1"/>
  <c r="Y17" i="68" a="1"/>
  <c r="Y17" i="68" s="1"/>
  <c r="AA10" i="68" a="1"/>
  <c r="AA10" i="68" s="1"/>
  <c r="AI17" i="68" a="1"/>
  <c r="AI17" i="68" s="1"/>
  <c r="AI18" i="68" a="1"/>
  <c r="AI18" i="68" s="1"/>
  <c r="AI20" i="68" a="1"/>
  <c r="AI20" i="68" s="1"/>
  <c r="AI12" i="68" a="1"/>
  <c r="AI12" i="68" s="1"/>
  <c r="AA18" i="68" a="1"/>
  <c r="AA18" i="68" s="1"/>
  <c r="H14" i="68" a="1"/>
  <c r="H14" i="68" s="1"/>
  <c r="V15" i="68" a="1"/>
  <c r="V15" i="68" s="1"/>
  <c r="AQ19" i="68" a="1"/>
  <c r="AQ19" i="68" s="1"/>
  <c r="AS15" i="68" a="1"/>
  <c r="AS15" i="68" s="1"/>
  <c r="M20" i="68" a="1"/>
  <c r="M20" i="68" s="1"/>
  <c r="K18" i="68" a="1"/>
  <c r="K18" i="68" s="1"/>
  <c r="M16" i="68" a="1"/>
  <c r="M16" i="68" s="1"/>
  <c r="I18" i="68" a="1"/>
  <c r="I18" i="68" s="1"/>
  <c r="AR10" i="68" a="1"/>
  <c r="AR10" i="68" s="1"/>
  <c r="Z17" i="68" a="1"/>
  <c r="Z17" i="68" s="1"/>
  <c r="AN20" i="68" a="1"/>
  <c r="AN20" i="68" s="1"/>
  <c r="V14" i="68" a="1"/>
  <c r="V14" i="68" s="1"/>
  <c r="E18" i="68" a="1"/>
  <c r="E18" i="68" s="1"/>
  <c r="H15" i="68" a="1"/>
  <c r="H15" i="68" s="1"/>
  <c r="W20" i="68" a="1"/>
  <c r="W20" i="68" s="1"/>
  <c r="AJ12" i="68" a="1"/>
  <c r="AJ12" i="68" s="1"/>
  <c r="AP19" i="68" a="1"/>
  <c r="AP19" i="68" s="1"/>
  <c r="AM19" i="68" a="1"/>
  <c r="AM19" i="68" s="1"/>
  <c r="X19" i="68" a="1"/>
  <c r="X19" i="68" s="1"/>
  <c r="U10" i="68" a="1"/>
  <c r="U10" i="68" s="1"/>
  <c r="K12" i="68" a="1"/>
  <c r="K12" i="68" s="1"/>
  <c r="AS14" i="68" a="1"/>
  <c r="AS14" i="68" s="1"/>
  <c r="AP15" i="68" a="1"/>
  <c r="AP15" i="68" s="1"/>
  <c r="AO19" i="68" a="1"/>
  <c r="AO19" i="68" s="1"/>
  <c r="W12" i="68" a="1"/>
  <c r="W12" i="68" s="1"/>
  <c r="M15" i="68" a="1"/>
  <c r="M15" i="68" s="1"/>
  <c r="V18" i="63" a="1"/>
  <c r="V18" i="63" s="1"/>
  <c r="X15" i="63" a="1"/>
  <c r="X15" i="63" s="1"/>
  <c r="AJ16" i="63" a="1"/>
  <c r="AJ16" i="63" s="1"/>
  <c r="AR15" i="63" a="1"/>
  <c r="AR15" i="63" s="1"/>
  <c r="AO15" i="64" a="1"/>
  <c r="AO15" i="64" s="1"/>
  <c r="AL16" i="64" a="1"/>
  <c r="AL16" i="64" s="1"/>
  <c r="AC20" i="64" a="1"/>
  <c r="AC20" i="64" s="1"/>
  <c r="K14" i="64" a="1"/>
  <c r="K14" i="64" s="1"/>
  <c r="AJ19" i="64" a="1"/>
  <c r="AJ19" i="64" s="1"/>
  <c r="AD16" i="64" a="1"/>
  <c r="AD16" i="64" s="1"/>
  <c r="T14" i="64" a="1"/>
  <c r="T14" i="64" s="1"/>
  <c r="L10" i="64" a="1"/>
  <c r="L10" i="64" s="1"/>
  <c r="AC15" i="64" a="1"/>
  <c r="AC15" i="64" s="1"/>
  <c r="X18" i="64" a="1"/>
  <c r="X18" i="64" s="1"/>
  <c r="O10" i="64" a="1"/>
  <c r="O10" i="64" s="1"/>
  <c r="F20" i="64" a="1"/>
  <c r="F20" i="64" s="1"/>
  <c r="H17" i="64" a="1"/>
  <c r="H17" i="64" s="1"/>
  <c r="AI12" i="64" a="1"/>
  <c r="AI12" i="64" s="1"/>
  <c r="M10" i="64" a="1"/>
  <c r="M10" i="64" s="1"/>
  <c r="E17" i="64" a="1"/>
  <c r="E17" i="64" s="1"/>
  <c r="I20" i="64" a="1"/>
  <c r="I20" i="64" s="1"/>
  <c r="E19" i="64" a="1"/>
  <c r="E19" i="64" s="1"/>
  <c r="Y10" i="64" a="1"/>
  <c r="Y10" i="64" s="1"/>
  <c r="AP19" i="64" a="1"/>
  <c r="AP19" i="64" s="1"/>
  <c r="J19" i="64" a="1"/>
  <c r="J19" i="64" s="1"/>
  <c r="I18" i="64" a="1"/>
  <c r="I18" i="64" s="1"/>
  <c r="E18" i="64" a="1"/>
  <c r="E18" i="64" s="1"/>
  <c r="AD12" i="64" a="1"/>
  <c r="AD12" i="64" s="1"/>
  <c r="AI17" i="64" a="1"/>
  <c r="AI17" i="64" s="1"/>
  <c r="AC17" i="64" a="1"/>
  <c r="AC17" i="64" s="1"/>
  <c r="Y14" i="64" a="1"/>
  <c r="Y14" i="64" s="1"/>
  <c r="M20" i="64" a="1"/>
  <c r="M20" i="64" s="1"/>
  <c r="AS18" i="64" a="1"/>
  <c r="AS18" i="64" s="1"/>
  <c r="M16" i="64" a="1"/>
  <c r="M16" i="64" s="1"/>
  <c r="I16" i="64" a="1"/>
  <c r="I16" i="64" s="1"/>
  <c r="AC12" i="64" a="1"/>
  <c r="AC12" i="64" s="1"/>
  <c r="E15" i="64" a="1"/>
  <c r="E15" i="64" s="1"/>
  <c r="AJ20" i="64" a="1"/>
  <c r="AJ20" i="64" s="1"/>
  <c r="AD18" i="64" a="1"/>
  <c r="AD18" i="64" s="1"/>
  <c r="AM19" i="64" a="1"/>
  <c r="AM19" i="64" s="1"/>
  <c r="O12" i="64" a="1"/>
  <c r="O12" i="64" s="1"/>
  <c r="J12" i="64" a="1"/>
  <c r="J12" i="64" s="1"/>
  <c r="AA14" i="64" a="1"/>
  <c r="AA14" i="64" s="1"/>
  <c r="N16" i="64" a="1"/>
  <c r="N16" i="64" s="1"/>
  <c r="AJ14" i="64" a="1"/>
  <c r="AJ14" i="64" s="1"/>
  <c r="M17" i="64" a="1"/>
  <c r="M17" i="64" s="1"/>
  <c r="AN16" i="64" a="1"/>
  <c r="AN16" i="64" s="1"/>
  <c r="H16" i="64" a="1"/>
  <c r="H16" i="64" s="1"/>
  <c r="F16" i="64" a="1"/>
  <c r="F16" i="64" s="1"/>
  <c r="U16" i="64" a="1"/>
  <c r="U16" i="64" s="1"/>
  <c r="AA18" i="64" a="1"/>
  <c r="AA18" i="64" s="1"/>
  <c r="AM18" i="64" a="1"/>
  <c r="AM18" i="64" s="1"/>
  <c r="F12" i="64" a="1"/>
  <c r="F12" i="64" s="1"/>
  <c r="L20" i="64" a="1"/>
  <c r="L20" i="64" s="1"/>
  <c r="M14" i="64" a="1"/>
  <c r="M14" i="64" s="1"/>
  <c r="L18" i="64" a="1"/>
  <c r="L18" i="64" s="1"/>
  <c r="AB17" i="64" a="1"/>
  <c r="AB17" i="64" s="1"/>
  <c r="AB19" i="64" a="1"/>
  <c r="AB19" i="64" s="1"/>
  <c r="N17" i="64" a="1"/>
  <c r="N17" i="64" s="1"/>
  <c r="AL19" i="64" a="1"/>
  <c r="AL19" i="64" s="1"/>
  <c r="O19" i="64" a="1"/>
  <c r="O19" i="64" s="1"/>
  <c r="AS16" i="64" a="1"/>
  <c r="AS16" i="64" s="1"/>
  <c r="AB20" i="64" a="1"/>
  <c r="AB20" i="64" s="1"/>
  <c r="AQ12" i="64" a="1"/>
  <c r="AQ12" i="64" s="1"/>
  <c r="AO18" i="64" a="1"/>
  <c r="AO18" i="64" s="1"/>
  <c r="Z14" i="64" a="1"/>
  <c r="Z14" i="64" s="1"/>
  <c r="W19" i="64" a="1"/>
  <c r="W19" i="64" s="1"/>
  <c r="U17" i="64" a="1"/>
  <c r="U17" i="64" s="1"/>
  <c r="AA20" i="64" a="1"/>
  <c r="AA20" i="64" s="1"/>
  <c r="X17" i="64" a="1"/>
  <c r="X17" i="64" s="1"/>
  <c r="N10" i="64" a="1"/>
  <c r="N10" i="64" s="1"/>
  <c r="AR18" i="64" a="1"/>
  <c r="AR18" i="64" s="1"/>
  <c r="X10" i="64" a="1"/>
  <c r="X10" i="64" s="1"/>
  <c r="H18" i="64" a="1"/>
  <c r="H18" i="64" s="1"/>
  <c r="G18" i="64" a="1"/>
  <c r="G18" i="64" s="1"/>
  <c r="X19" i="64" a="1"/>
  <c r="X19" i="64" s="1"/>
  <c r="Y17" i="64" a="1"/>
  <c r="Y17" i="64" s="1"/>
  <c r="W17" i="64" a="1"/>
  <c r="W17" i="64" s="1"/>
  <c r="F14" i="64" a="1"/>
  <c r="F14" i="64" s="1"/>
  <c r="W14" i="64" a="1"/>
  <c r="W14" i="64" s="1"/>
  <c r="AO10" i="64" a="1"/>
  <c r="AO10" i="64" s="1"/>
  <c r="AB10" i="64" a="1"/>
  <c r="AB10" i="64" s="1"/>
  <c r="AJ10" i="64" a="1"/>
  <c r="AJ10" i="64" s="1"/>
  <c r="F17" i="64" a="1"/>
  <c r="F17" i="64" s="1"/>
  <c r="K10" i="64" a="1"/>
  <c r="K10" i="64" s="1"/>
  <c r="AL15" i="64" a="1"/>
  <c r="AL15" i="64" s="1"/>
  <c r="L12" i="64" a="1"/>
  <c r="L12" i="64" s="1"/>
  <c r="AA12" i="64" a="1"/>
  <c r="AA12" i="64" s="1"/>
  <c r="U14" i="64" a="1"/>
  <c r="U14" i="64" s="1"/>
  <c r="X12" i="64" a="1"/>
  <c r="X12" i="64" s="1"/>
  <c r="V19" i="64" a="1"/>
  <c r="V19" i="64" s="1"/>
  <c r="V17" i="64" a="1"/>
  <c r="V17" i="64" s="1"/>
  <c r="AC18" i="64" a="1"/>
  <c r="AC18" i="64" s="1"/>
  <c r="I10" i="64" a="1"/>
  <c r="I10" i="64" s="1"/>
  <c r="AQ19" i="64" a="1"/>
  <c r="AQ19" i="64" s="1"/>
  <c r="T17" i="64" a="1"/>
  <c r="T17" i="64" s="1"/>
  <c r="AN12" i="64" a="1"/>
  <c r="AN12" i="64" s="1"/>
  <c r="Y18" i="64" a="1"/>
  <c r="Y18" i="64" s="1"/>
  <c r="W10" i="64" a="1"/>
  <c r="W10" i="64" s="1"/>
  <c r="AS15" i="64" a="1"/>
  <c r="AS15" i="64" s="1"/>
  <c r="AO20" i="64" a="1"/>
  <c r="AO20" i="64" s="1"/>
  <c r="AQ10" i="64" a="1"/>
  <c r="AQ10" i="64" s="1"/>
  <c r="AI14" i="64" a="1"/>
  <c r="AI14" i="64" s="1"/>
  <c r="F19" i="64" a="1"/>
  <c r="F19" i="64" s="1"/>
  <c r="AR10" i="64" a="1"/>
  <c r="AR10" i="64" s="1"/>
  <c r="T15" i="64" a="1"/>
  <c r="T15" i="64" s="1"/>
  <c r="O15" i="64" a="1"/>
  <c r="O15" i="64" s="1"/>
  <c r="AR20" i="64" a="1"/>
  <c r="AR20" i="64" s="1"/>
  <c r="AR17" i="64" a="1"/>
  <c r="AR17" i="64" s="1"/>
  <c r="F15" i="64" a="1"/>
  <c r="F15" i="64" s="1"/>
  <c r="AJ16" i="64" a="1"/>
  <c r="AJ16" i="64" s="1"/>
  <c r="O18" i="64" a="1"/>
  <c r="O18" i="64" s="1"/>
  <c r="U10" i="64" a="1"/>
  <c r="U10" i="64" s="1"/>
  <c r="U15" i="64" a="1"/>
  <c r="U15" i="64" s="1"/>
  <c r="AQ14" i="64" a="1"/>
  <c r="AQ14" i="64" s="1"/>
  <c r="AK10" i="64" a="1"/>
  <c r="AK10" i="64" s="1"/>
  <c r="AI19" i="64" a="1"/>
  <c r="AI19" i="64" s="1"/>
  <c r="AR15" i="64" a="1"/>
  <c r="AR15" i="64" s="1"/>
  <c r="AA15" i="64" a="1"/>
  <c r="AA15" i="64" s="1"/>
  <c r="AO19" i="64" a="1"/>
  <c r="AO19" i="64" s="1"/>
  <c r="K18" i="64" a="1"/>
  <c r="K18" i="64" s="1"/>
  <c r="H12" i="64" a="1"/>
  <c r="H12" i="64" s="1"/>
  <c r="H10" i="64" a="1"/>
  <c r="H10" i="64" s="1"/>
  <c r="Z12" i="64" a="1"/>
  <c r="Z12" i="64" s="1"/>
  <c r="F18" i="64" a="1"/>
  <c r="F18" i="64" s="1"/>
  <c r="AQ20" i="64" a="1"/>
  <c r="AQ20" i="64" s="1"/>
  <c r="AQ17" i="64" a="1"/>
  <c r="AQ17" i="64" s="1"/>
  <c r="AA19" i="64" a="1"/>
  <c r="AA19" i="64" s="1"/>
  <c r="Y20" i="64" a="1"/>
  <c r="Y20" i="64" s="1"/>
  <c r="E14" i="64" a="1"/>
  <c r="E14" i="64" s="1"/>
  <c r="AK16" i="64" a="1"/>
  <c r="AK16" i="64" s="1"/>
  <c r="Z18" i="64" a="1"/>
  <c r="Z18" i="64" s="1"/>
  <c r="AI15" i="64" a="1"/>
  <c r="AI15" i="64" s="1"/>
  <c r="AD15" i="64" a="1"/>
  <c r="AD15" i="64" s="1"/>
  <c r="V18" i="64" a="1"/>
  <c r="V18" i="64" s="1"/>
  <c r="X16" i="64" a="1"/>
  <c r="X16" i="64" s="1"/>
  <c r="AM17" i="64" a="1"/>
  <c r="AM17" i="64" s="1"/>
  <c r="Z17" i="64" a="1"/>
  <c r="Z17" i="64" s="1"/>
  <c r="N14" i="64" a="1"/>
  <c r="N14" i="64" s="1"/>
  <c r="G17" i="64" a="1"/>
  <c r="G17" i="64" s="1"/>
  <c r="G19" i="64" a="1"/>
  <c r="G19" i="64" s="1"/>
  <c r="N12" i="64" a="1"/>
  <c r="N12" i="64" s="1"/>
  <c r="L14" i="64" a="1"/>
  <c r="L14" i="64" s="1"/>
  <c r="L15" i="64" a="1"/>
  <c r="L15" i="64" s="1"/>
  <c r="T19" i="64" a="1"/>
  <c r="T19" i="64" s="1"/>
  <c r="W12" i="64" a="1"/>
  <c r="W12" i="64" s="1"/>
  <c r="V16" i="64" a="1"/>
  <c r="V16" i="64" s="1"/>
  <c r="AQ15" i="64" a="1"/>
  <c r="AQ15" i="64" s="1"/>
  <c r="I19" i="64" a="1"/>
  <c r="I19" i="64" s="1"/>
  <c r="O16" i="64" a="1"/>
  <c r="O16" i="64" s="1"/>
  <c r="AK18" i="64" a="1"/>
  <c r="AK18" i="64" s="1"/>
  <c r="AS17" i="64" a="1"/>
  <c r="AS17" i="64" s="1"/>
  <c r="H20" i="64" a="1"/>
  <c r="H20" i="64" s="1"/>
  <c r="AJ15" i="64" a="1"/>
  <c r="AJ15" i="64" s="1"/>
  <c r="M12" i="64" a="1"/>
  <c r="M12" i="64" s="1"/>
  <c r="T18" i="64" a="1"/>
  <c r="T18" i="64" s="1"/>
  <c r="V10" i="64" a="1"/>
  <c r="V10" i="64" s="1"/>
  <c r="N20" i="64" a="1"/>
  <c r="N20" i="64" s="1"/>
  <c r="Y19" i="64" a="1"/>
  <c r="Y19" i="64" s="1"/>
  <c r="AD19" i="64" a="1"/>
  <c r="AD19" i="64" s="1"/>
  <c r="AN20" i="64" a="1"/>
  <c r="AN20" i="64" s="1"/>
  <c r="AM20" i="64" a="1"/>
  <c r="AM20" i="64" s="1"/>
  <c r="H19" i="64" a="1"/>
  <c r="H19" i="64" s="1"/>
  <c r="U18" i="64" a="1"/>
  <c r="U18" i="64" s="1"/>
  <c r="N15" i="64" a="1"/>
  <c r="N15" i="64" s="1"/>
  <c r="U12" i="64" a="1"/>
  <c r="U12" i="64" s="1"/>
  <c r="V15" i="64" a="1"/>
  <c r="V15" i="64" s="1"/>
  <c r="AI20" i="64" a="1"/>
  <c r="AI20" i="64" s="1"/>
  <c r="AB16" i="64" a="1"/>
  <c r="AB16" i="64" s="1"/>
  <c r="AL14" i="64" a="1"/>
  <c r="AL14" i="64" s="1"/>
  <c r="AS19" i="64" a="1"/>
  <c r="AS19" i="64" s="1"/>
  <c r="K12" i="64" a="1"/>
  <c r="K12" i="64" s="1"/>
  <c r="AN19" i="64" a="1"/>
  <c r="AN19" i="64" s="1"/>
  <c r="AC16" i="64" a="1"/>
  <c r="AC16" i="64" s="1"/>
  <c r="AJ17" i="64" a="1"/>
  <c r="AJ17" i="64" s="1"/>
  <c r="AK17" i="64" a="1"/>
  <c r="AK17" i="64" s="1"/>
  <c r="AS14" i="64" a="1"/>
  <c r="AS14" i="64" s="1"/>
  <c r="J17" i="64" a="1"/>
  <c r="J17" i="64" s="1"/>
  <c r="K15" i="64" a="1"/>
  <c r="K15" i="64" s="1"/>
  <c r="H15" i="64" a="1"/>
  <c r="H15" i="64" s="1"/>
  <c r="AO14" i="64" a="1"/>
  <c r="AO14" i="64" s="1"/>
  <c r="J20" i="64" a="1"/>
  <c r="J20" i="64" s="1"/>
  <c r="AM16" i="64" a="1"/>
  <c r="AM16" i="64" s="1"/>
  <c r="AP18" i="64" a="1"/>
  <c r="AP18" i="64" s="1"/>
  <c r="G14" i="64" a="1"/>
  <c r="G14" i="64" s="1"/>
  <c r="H14" i="64" a="1"/>
  <c r="H14" i="64" s="1"/>
  <c r="AJ12" i="64" a="1"/>
  <c r="AJ12" i="64" s="1"/>
  <c r="AN10" i="64" a="1"/>
  <c r="AN10" i="64" s="1"/>
  <c r="AN17" i="64" a="1"/>
  <c r="AN17" i="64" s="1"/>
  <c r="AS10" i="64" a="1"/>
  <c r="AS10" i="64" s="1"/>
  <c r="J10" i="64" a="1"/>
  <c r="J10" i="64" s="1"/>
  <c r="E20" i="64" a="1"/>
  <c r="E20" i="64" s="1"/>
  <c r="AM12" i="64" a="1"/>
  <c r="AM12" i="64" s="1"/>
  <c r="AL17" i="64" a="1"/>
  <c r="AL17" i="64" s="1"/>
  <c r="AA10" i="64" a="1"/>
  <c r="AA10" i="64" s="1"/>
  <c r="J14" i="64" a="1"/>
  <c r="J14" i="64" s="1"/>
  <c r="AC14" i="64" a="1"/>
  <c r="AC14" i="64" s="1"/>
  <c r="K20" i="64" a="1"/>
  <c r="K20" i="64" s="1"/>
  <c r="AO12" i="64" a="1"/>
  <c r="AO12" i="64" s="1"/>
  <c r="AD14" i="64" a="1"/>
  <c r="AD14" i="64" s="1"/>
  <c r="AL12" i="64" a="1"/>
  <c r="AL12" i="64" s="1"/>
  <c r="K20" i="66" a="1"/>
  <c r="K20" i="66" s="1"/>
  <c r="AR12" i="66" a="1"/>
  <c r="AR12" i="66" s="1"/>
  <c r="AA14" i="66" a="1"/>
  <c r="AA14" i="66" s="1"/>
  <c r="N14" i="66" a="1"/>
  <c r="N14" i="66" s="1"/>
  <c r="L16" i="66" a="1"/>
  <c r="L16" i="66" s="1"/>
  <c r="O19" i="66" a="1"/>
  <c r="O19" i="66" s="1"/>
  <c r="E18" i="66" a="1"/>
  <c r="E18" i="66" s="1"/>
  <c r="H20" i="66" a="1"/>
  <c r="H20" i="66" s="1"/>
  <c r="W20" i="66" a="1"/>
  <c r="W20" i="66" s="1"/>
  <c r="AK16" i="66" a="1"/>
  <c r="AK16" i="66" s="1"/>
  <c r="AM18" i="66" a="1"/>
  <c r="AM18" i="66" s="1"/>
  <c r="K19" i="66" a="1"/>
  <c r="K19" i="66" s="1"/>
  <c r="AC12" i="66" a="1"/>
  <c r="AC12" i="66" s="1"/>
  <c r="AS18" i="66" a="1"/>
  <c r="AS18" i="66" s="1"/>
  <c r="Z10" i="66" a="1"/>
  <c r="Z10" i="66" s="1"/>
  <c r="AA10" i="66" a="1"/>
  <c r="AA10" i="66" s="1"/>
  <c r="L18" i="66" a="1"/>
  <c r="L18" i="66" s="1"/>
  <c r="K15" i="66" a="1"/>
  <c r="K15" i="66" s="1"/>
  <c r="AK19" i="66" a="1"/>
  <c r="AK19" i="66" s="1"/>
  <c r="N20" i="66" a="1"/>
  <c r="N20" i="66" s="1"/>
  <c r="AJ20" i="66" a="1"/>
  <c r="AJ20" i="66" s="1"/>
  <c r="W16" i="66" a="1"/>
  <c r="W16" i="66" s="1"/>
  <c r="J16" i="66" a="1"/>
  <c r="J16" i="66" s="1"/>
  <c r="X19" i="66" a="1"/>
  <c r="X19" i="66" s="1"/>
  <c r="AI20" i="66" a="1"/>
  <c r="AI20" i="66" s="1"/>
  <c r="M16" i="66" a="1"/>
  <c r="M16" i="66" s="1"/>
  <c r="AN14" i="66" a="1"/>
  <c r="AN14" i="66" s="1"/>
  <c r="AS17" i="66" a="1"/>
  <c r="AS17" i="66" s="1"/>
  <c r="I15" i="66" a="1"/>
  <c r="I15" i="66" s="1"/>
  <c r="O15" i="66" a="1"/>
  <c r="O15" i="66" s="1"/>
  <c r="AL10" i="66" a="1"/>
  <c r="AL10" i="66" s="1"/>
  <c r="K17" i="66" a="1"/>
  <c r="K17" i="66" s="1"/>
  <c r="G20" i="66" a="1"/>
  <c r="G20" i="66" s="1"/>
  <c r="N15" i="66" a="1"/>
  <c r="N15" i="66" s="1"/>
  <c r="E15" i="66" a="1"/>
  <c r="E15" i="66" s="1"/>
  <c r="AN18" i="66" a="1"/>
  <c r="AN18" i="66" s="1"/>
  <c r="AB14" i="66" a="1"/>
  <c r="AB14" i="66" s="1"/>
  <c r="J19" i="66" a="1"/>
  <c r="J19" i="66" s="1"/>
  <c r="H16" i="66" a="1"/>
  <c r="H16" i="66" s="1"/>
  <c r="AP14" i="66" a="1"/>
  <c r="AP14" i="66" s="1"/>
  <c r="J10" i="66" a="1"/>
  <c r="J10" i="66" s="1"/>
  <c r="AL20" i="66" a="1"/>
  <c r="AL20" i="66" s="1"/>
  <c r="AC15" i="66" a="1"/>
  <c r="AC15" i="66" s="1"/>
  <c r="I16" i="66" a="1"/>
  <c r="I16" i="66" s="1"/>
  <c r="AC16" i="66" a="1"/>
  <c r="AC16" i="66" s="1"/>
  <c r="AA20" i="66" a="1"/>
  <c r="AA20" i="66" s="1"/>
  <c r="K12" i="66" a="1"/>
  <c r="K12" i="66" s="1"/>
  <c r="AR20" i="66" a="1"/>
  <c r="AR20" i="66" s="1"/>
  <c r="O12" i="66" a="1"/>
  <c r="O12" i="66" s="1"/>
  <c r="AQ12" i="66" a="1"/>
  <c r="AQ12" i="66" s="1"/>
  <c r="J14" i="66" a="1"/>
  <c r="J14" i="66" s="1"/>
  <c r="Y10" i="66" a="1"/>
  <c r="Y10" i="66" s="1"/>
  <c r="AQ19" i="66" a="1"/>
  <c r="AQ19" i="66" s="1"/>
  <c r="U17" i="66" a="1"/>
  <c r="U17" i="66" s="1"/>
  <c r="F15" i="66" a="1"/>
  <c r="F15" i="66" s="1"/>
  <c r="V16" i="66" a="1"/>
  <c r="V16" i="66" s="1"/>
  <c r="AS16" i="66" a="1"/>
  <c r="AS16" i="66" s="1"/>
  <c r="AK18" i="66" a="1"/>
  <c r="AK18" i="66" s="1"/>
  <c r="T16" i="66" a="1"/>
  <c r="T16" i="66" s="1"/>
  <c r="U10" i="66" a="1"/>
  <c r="U10" i="66" s="1"/>
  <c r="G16" i="66" a="1"/>
  <c r="G16" i="66" s="1"/>
  <c r="AQ14" i="66" a="1"/>
  <c r="AQ14" i="66" s="1"/>
  <c r="AD18" i="66" a="1"/>
  <c r="AD18" i="66" s="1"/>
  <c r="T17" i="66" a="1"/>
  <c r="T17" i="66" s="1"/>
  <c r="E12" i="66" a="1"/>
  <c r="E12" i="66" s="1"/>
  <c r="AN10" i="66" a="1"/>
  <c r="AN10" i="66" s="1"/>
  <c r="AM12" i="66" a="1"/>
  <c r="AM12" i="66" s="1"/>
  <c r="AR15" i="66" a="1"/>
  <c r="AR15" i="66" s="1"/>
  <c r="Y14" i="66" a="1"/>
  <c r="Y14" i="66" s="1"/>
  <c r="AJ15" i="66" a="1"/>
  <c r="AJ15" i="66" s="1"/>
  <c r="F20" i="66" a="1"/>
  <c r="F20" i="66" s="1"/>
  <c r="G19" i="66" a="1"/>
  <c r="G19" i="66" s="1"/>
  <c r="AM20" i="66" a="1"/>
  <c r="AM20" i="66" s="1"/>
  <c r="AD15" i="66" a="1"/>
  <c r="AD15" i="66" s="1"/>
  <c r="AB12" i="66" a="1"/>
  <c r="AB12" i="66" s="1"/>
  <c r="T20" i="66" a="1"/>
  <c r="T20" i="66" s="1"/>
  <c r="M20" i="66" a="1"/>
  <c r="M20" i="66" s="1"/>
  <c r="AL19" i="66" a="1"/>
  <c r="AL19" i="66" s="1"/>
  <c r="G18" i="66" a="1"/>
  <c r="G18" i="66" s="1"/>
  <c r="AS10" i="66" a="1"/>
  <c r="AS10" i="66" s="1"/>
  <c r="E14" i="66" a="1"/>
  <c r="E14" i="66" s="1"/>
  <c r="U16" i="66" a="1"/>
  <c r="U16" i="66" s="1"/>
  <c r="AO15" i="66" a="1"/>
  <c r="AO15" i="66" s="1"/>
  <c r="Z14" i="66" a="1"/>
  <c r="Z14" i="66" s="1"/>
  <c r="AP15" i="66" a="1"/>
  <c r="AP15" i="66" s="1"/>
  <c r="AM19" i="66" a="1"/>
  <c r="AM19" i="66" s="1"/>
  <c r="AD10" i="66" a="1"/>
  <c r="AD10" i="66" s="1"/>
  <c r="AI17" i="66" a="1"/>
  <c r="AI17" i="66" s="1"/>
  <c r="AS19" i="66" a="1"/>
  <c r="AS19" i="66" s="1"/>
  <c r="W12" i="66" a="1"/>
  <c r="W12" i="66" s="1"/>
  <c r="AP10" i="66" a="1"/>
  <c r="AP10" i="66" s="1"/>
  <c r="X20" i="66" a="1"/>
  <c r="X20" i="66" s="1"/>
  <c r="AC18" i="66" a="1"/>
  <c r="AC18" i="66" s="1"/>
  <c r="Y16" i="66" a="1"/>
  <c r="Y16" i="66" s="1"/>
  <c r="T18" i="66" a="1"/>
  <c r="T18" i="66" s="1"/>
  <c r="G17" i="66" a="1"/>
  <c r="G17" i="66" s="1"/>
  <c r="W18" i="66" a="1"/>
  <c r="W18" i="66" s="1"/>
  <c r="AL17" i="66" a="1"/>
  <c r="AL17" i="66" s="1"/>
  <c r="AP19" i="66" a="1"/>
  <c r="AP19" i="66" s="1"/>
  <c r="AJ19" i="66" a="1"/>
  <c r="AJ19" i="66" s="1"/>
  <c r="V18" i="66" a="1"/>
  <c r="V18" i="66" s="1"/>
  <c r="AJ10" i="66" a="1"/>
  <c r="AJ10" i="66" s="1"/>
  <c r="AQ10" i="66" a="1"/>
  <c r="AQ10" i="66" s="1"/>
  <c r="AO14" i="66" a="1"/>
  <c r="AO14" i="66" s="1"/>
  <c r="X12" i="66" a="1"/>
  <c r="X12" i="66" s="1"/>
  <c r="AD14" i="66" a="1"/>
  <c r="AD14" i="66" s="1"/>
  <c r="AQ15" i="66" a="1"/>
  <c r="AQ15" i="66" s="1"/>
  <c r="K18" i="66" a="1"/>
  <c r="K18" i="66" s="1"/>
  <c r="I19" i="66" a="1"/>
  <c r="I19" i="66" s="1"/>
  <c r="F12" i="66" a="1"/>
  <c r="F12" i="66" s="1"/>
  <c r="AK14" i="66" a="1"/>
  <c r="AK14" i="66" s="1"/>
  <c r="V17" i="66" a="1"/>
  <c r="V17" i="66" s="1"/>
  <c r="AO19" i="66" a="1"/>
  <c r="AO19" i="66" s="1"/>
  <c r="G10" i="66" a="1"/>
  <c r="G10" i="66" s="1"/>
  <c r="J18" i="66" a="1"/>
  <c r="J18" i="66" s="1"/>
  <c r="AQ17" i="66" a="1"/>
  <c r="AQ17" i="66" s="1"/>
  <c r="AP20" i="66" a="1"/>
  <c r="AP20" i="66" s="1"/>
  <c r="AI18" i="66" a="1"/>
  <c r="AI18" i="66" s="1"/>
  <c r="AN12" i="66" a="1"/>
  <c r="AN12" i="66" s="1"/>
  <c r="AN20" i="66" a="1"/>
  <c r="AN20" i="66" s="1"/>
  <c r="T14" i="66" a="1"/>
  <c r="T14" i="66" s="1"/>
  <c r="L15" i="66" a="1"/>
  <c r="L15" i="66" s="1"/>
  <c r="H12" i="66" a="1"/>
  <c r="H12" i="66" s="1"/>
  <c r="Y18" i="66" a="1"/>
  <c r="Y18" i="66" s="1"/>
  <c r="AS15" i="66" a="1"/>
  <c r="AS15" i="66" s="1"/>
  <c r="AR18" i="66" a="1"/>
  <c r="AR18" i="66" s="1"/>
  <c r="H18" i="66" a="1"/>
  <c r="H18" i="66" s="1"/>
  <c r="F16" i="66" a="1"/>
  <c r="F16" i="66" s="1"/>
  <c r="AR17" i="66" a="1"/>
  <c r="AR17" i="66" s="1"/>
  <c r="AC10" i="66" a="1"/>
  <c r="AC10" i="66" s="1"/>
  <c r="K14" i="66" a="1"/>
  <c r="K14" i="66" s="1"/>
  <c r="Y12" i="66" a="1"/>
  <c r="Y12" i="66" s="1"/>
  <c r="F18" i="66" a="1"/>
  <c r="F18" i="66" s="1"/>
  <c r="Y17" i="66" a="1"/>
  <c r="Y17" i="66" s="1"/>
  <c r="X10" i="66" a="1"/>
  <c r="X10" i="66" s="1"/>
  <c r="V10" i="66" a="1"/>
  <c r="V10" i="66" s="1"/>
  <c r="F17" i="66" a="1"/>
  <c r="F17" i="66" s="1"/>
  <c r="H10" i="66" a="1"/>
  <c r="H10" i="66" s="1"/>
  <c r="V15" i="66" a="1"/>
  <c r="V15" i="66" s="1"/>
  <c r="J20" i="66" a="1"/>
  <c r="J20" i="66" s="1"/>
  <c r="Z19" i="66" a="1"/>
  <c r="Z19" i="66" s="1"/>
  <c r="AI19" i="66" a="1"/>
  <c r="AI19" i="66" s="1"/>
  <c r="AA12" i="66" a="1"/>
  <c r="AA12" i="66" s="1"/>
  <c r="N18" i="66" a="1"/>
  <c r="N18" i="66" s="1"/>
  <c r="Z18" i="66" a="1"/>
  <c r="Z18" i="66" s="1"/>
  <c r="V19" i="66" a="1"/>
  <c r="V19" i="66" s="1"/>
  <c r="V14" i="66" a="1"/>
  <c r="V14" i="66" s="1"/>
  <c r="N10" i="66" a="1"/>
  <c r="N10" i="66" s="1"/>
  <c r="AC20" i="66" a="1"/>
  <c r="AC20" i="66" s="1"/>
  <c r="L12" i="66" a="1"/>
  <c r="L12" i="66" s="1"/>
  <c r="Z20" i="66" a="1"/>
  <c r="Z20" i="66" s="1"/>
  <c r="AN16" i="66" a="1"/>
  <c r="AN16" i="66" s="1"/>
  <c r="M10" i="66" a="1"/>
  <c r="M10" i="66" s="1"/>
  <c r="U18" i="66" a="1"/>
  <c r="U18" i="66" s="1"/>
  <c r="O14" i="66" a="1"/>
  <c r="O14" i="66" s="1"/>
  <c r="X16" i="66" a="1"/>
  <c r="X16" i="66" s="1"/>
  <c r="T19" i="66" a="1"/>
  <c r="T19" i="66" s="1"/>
  <c r="E16" i="66" a="1"/>
  <c r="E16" i="66" s="1"/>
  <c r="Z12" i="66" a="1"/>
  <c r="Z12" i="66" s="1"/>
  <c r="M12" i="66" a="1"/>
  <c r="M12" i="66" s="1"/>
  <c r="AL12" i="66" a="1"/>
  <c r="AL12" i="66" s="1"/>
  <c r="Y19" i="66" a="1"/>
  <c r="Y19" i="66" s="1"/>
  <c r="W14" i="66" a="1"/>
  <c r="W14" i="66" s="1"/>
  <c r="AJ14" i="66" a="1"/>
  <c r="AJ14" i="66" s="1"/>
  <c r="G14" i="66" a="1"/>
  <c r="G14" i="66" s="1"/>
  <c r="W17" i="66" a="1"/>
  <c r="W17" i="66" s="1"/>
  <c r="AD12" i="66" a="1"/>
  <c r="AD12" i="66" s="1"/>
  <c r="AI16" i="66" a="1"/>
  <c r="AI16" i="66" s="1"/>
  <c r="Y20" i="66" a="1"/>
  <c r="Y20" i="66" s="1"/>
  <c r="N12" i="66" a="1"/>
  <c r="N12" i="66" s="1"/>
  <c r="AB17" i="66" a="1"/>
  <c r="AB17" i="66" s="1"/>
  <c r="AB16" i="66" a="1"/>
  <c r="AB16" i="66" s="1"/>
  <c r="AQ20" i="66" a="1"/>
  <c r="AQ20" i="66" s="1"/>
  <c r="O17" i="66" a="1"/>
  <c r="O17" i="66" s="1"/>
  <c r="I10" i="66" a="1"/>
  <c r="I10" i="66" s="1"/>
  <c r="AD17" i="66" a="1"/>
  <c r="AD17" i="66" s="1"/>
  <c r="X15" i="66" a="1"/>
  <c r="X15" i="66" s="1"/>
  <c r="E17" i="66" a="1"/>
  <c r="E17" i="66" s="1"/>
  <c r="AQ16" i="66" a="1"/>
  <c r="AQ16" i="66" s="1"/>
  <c r="AD16" i="66" a="1"/>
  <c r="AD16" i="66" s="1"/>
  <c r="AL16" i="66" a="1"/>
  <c r="AL16" i="66" s="1"/>
  <c r="AB19" i="66" a="1"/>
  <c r="AB19" i="66" s="1"/>
  <c r="K10" i="66" a="1"/>
  <c r="K10" i="66" s="1"/>
  <c r="AK20" i="66" a="1"/>
  <c r="AK20" i="66" s="1"/>
  <c r="E19" i="66" a="1"/>
  <c r="E19" i="66" s="1"/>
  <c r="L20" i="66" a="1"/>
  <c r="L20" i="66" s="1"/>
  <c r="AK10" i="66" a="1"/>
  <c r="AK10" i="66" s="1"/>
  <c r="M19" i="66" a="1"/>
  <c r="M19" i="66" s="1"/>
  <c r="F14" i="66" a="1"/>
  <c r="F14" i="66" s="1"/>
  <c r="AA15" i="66" a="1"/>
  <c r="AA15" i="66" s="1"/>
  <c r="F10" i="66" a="1"/>
  <c r="F10" i="66" s="1"/>
  <c r="AA16" i="66" a="1"/>
  <c r="AA16" i="66" s="1"/>
  <c r="M15" i="66" a="1"/>
  <c r="M15" i="66" s="1"/>
  <c r="AN17" i="66" a="1"/>
  <c r="AN17" i="66" s="1"/>
  <c r="L10" i="66" a="1"/>
  <c r="L10" i="66" s="1"/>
  <c r="X18" i="66" a="1"/>
  <c r="X18" i="66" s="1"/>
  <c r="AR16" i="66" a="1"/>
  <c r="AR16" i="66" s="1"/>
  <c r="AP16" i="66" a="1"/>
  <c r="AP16" i="66" s="1"/>
  <c r="O16" i="66" a="1"/>
  <c r="O16" i="66" s="1"/>
  <c r="AJ18" i="66" a="1"/>
  <c r="AJ18" i="66" s="1"/>
  <c r="AC14" i="66" a="1"/>
  <c r="AC14" i="66" s="1"/>
  <c r="L14" i="66" a="1"/>
  <c r="L14" i="66" s="1"/>
  <c r="L19" i="66" a="1"/>
  <c r="L19" i="66" s="1"/>
  <c r="J12" i="66" a="1"/>
  <c r="J12" i="66" s="1"/>
  <c r="AS14" i="66" a="1"/>
  <c r="AS14" i="66" s="1"/>
  <c r="AC17" i="66" a="1"/>
  <c r="AC17" i="66" s="1"/>
  <c r="X17" i="66" a="1"/>
  <c r="X17" i="66" s="1"/>
  <c r="AB10" i="66" a="1"/>
  <c r="AB10" i="66" s="1"/>
  <c r="U19" i="66" a="1"/>
  <c r="U19" i="66" s="1"/>
  <c r="H19" i="66" a="1"/>
  <c r="H19" i="66" s="1"/>
  <c r="T15" i="66" a="1"/>
  <c r="T15" i="66" s="1"/>
  <c r="AP18" i="66" a="1"/>
  <c r="AP18" i="66" s="1"/>
  <c r="I12" i="66" a="1"/>
  <c r="I12" i="66" s="1"/>
  <c r="AJ12" i="66" a="1"/>
  <c r="AJ12" i="66" s="1"/>
  <c r="N16" i="66" a="1"/>
  <c r="N16" i="66" s="1"/>
  <c r="N17" i="66" a="1"/>
  <c r="N17" i="66" s="1"/>
  <c r="I18" i="66" a="1"/>
  <c r="I18" i="66" s="1"/>
  <c r="M14" i="66" a="1"/>
  <c r="M14" i="66" s="1"/>
  <c r="AD19" i="66" a="1"/>
  <c r="AD19" i="66" s="1"/>
  <c r="U20" i="66" a="1"/>
  <c r="U20" i="66" s="1"/>
  <c r="V20" i="66" a="1"/>
  <c r="V20" i="66" s="1"/>
  <c r="AL18" i="66" a="1"/>
  <c r="AL18" i="66" s="1"/>
  <c r="AJ16" i="66" a="1"/>
  <c r="AJ16" i="66" s="1"/>
  <c r="AO18" i="66" a="1"/>
  <c r="AO18" i="66" s="1"/>
  <c r="M17" i="66" a="1"/>
  <c r="M17" i="66" s="1"/>
  <c r="AI15" i="66" a="1"/>
  <c r="AI15" i="66" s="1"/>
  <c r="H17" i="66" a="1"/>
  <c r="H17" i="66" s="1"/>
  <c r="AM17" i="66" a="1"/>
  <c r="AM17" i="66" s="1"/>
  <c r="I20" i="66" a="1"/>
  <c r="I20" i="66" s="1"/>
  <c r="T12" i="66" a="1"/>
  <c r="T12" i="66" s="1"/>
  <c r="AK15" i="66" a="1"/>
  <c r="AK15" i="66" s="1"/>
  <c r="E20" i="66" a="1"/>
  <c r="E20" i="66" s="1"/>
  <c r="Z17" i="66" a="1"/>
  <c r="Z17" i="66" s="1"/>
  <c r="O10" i="66" a="1"/>
  <c r="O10" i="66" s="1"/>
  <c r="W19" i="66" a="1"/>
  <c r="W19" i="66" s="1"/>
  <c r="AO10" i="66" a="1"/>
  <c r="AO10" i="66" s="1"/>
  <c r="AA18" i="66" a="1"/>
  <c r="AA18" i="66" s="1"/>
  <c r="O18" i="66" a="1"/>
  <c r="O18" i="66" s="1"/>
  <c r="AA19" i="66" a="1"/>
  <c r="AA19" i="66" s="1"/>
  <c r="AP12" i="66" a="1"/>
  <c r="AP12" i="66" s="1"/>
  <c r="F19" i="66" a="1"/>
  <c r="F19" i="66" s="1"/>
  <c r="W15" i="66" a="1"/>
  <c r="W15" i="66" s="1"/>
  <c r="AL14" i="66" a="1"/>
  <c r="AL14" i="66" s="1"/>
  <c r="AI12" i="66" a="1"/>
  <c r="AI12" i="66" s="1"/>
  <c r="U15" i="66" a="1"/>
  <c r="U15" i="66" s="1"/>
  <c r="AM10" i="66" a="1"/>
  <c r="AM10" i="66" s="1"/>
  <c r="H15" i="66" a="1"/>
  <c r="H15" i="66" s="1"/>
  <c r="AO12" i="66" a="1"/>
  <c r="AO12" i="66" s="1"/>
  <c r="AR14" i="66" a="1"/>
  <c r="AR14" i="66" s="1"/>
  <c r="Z15" i="66" a="1"/>
  <c r="Z15" i="66" s="1"/>
  <c r="AB15" i="66" a="1"/>
  <c r="AB15" i="66" s="1"/>
  <c r="AO20" i="66" a="1"/>
  <c r="AO20" i="66" s="1"/>
  <c r="H20" i="63" a="1"/>
  <c r="H20" i="63" s="1"/>
  <c r="AC11" i="63" a="1"/>
  <c r="AC11" i="63" s="1"/>
  <c r="J14" i="63" a="1"/>
  <c r="J14" i="63" s="1"/>
  <c r="J16" i="63" a="1"/>
  <c r="J16" i="63" s="1"/>
  <c r="AO14" i="63" a="1"/>
  <c r="AO14" i="63" s="1"/>
  <c r="AP19" i="63" a="1"/>
  <c r="AP19" i="63" s="1"/>
  <c r="E11" i="63" a="1"/>
  <c r="E11" i="63" s="1"/>
  <c r="M17" i="63" a="1"/>
  <c r="M17" i="63" s="1"/>
  <c r="AA16" i="63" a="1"/>
  <c r="AA16" i="63" s="1"/>
  <c r="AL19" i="63" a="1"/>
  <c r="AL19" i="63" s="1"/>
  <c r="Y12" i="63" a="1"/>
  <c r="Y12" i="63" s="1"/>
  <c r="Y10" i="63" a="1"/>
  <c r="Y10" i="63" s="1"/>
  <c r="U20" i="63" a="1"/>
  <c r="U20" i="63" s="1"/>
  <c r="AM15" i="63" a="1"/>
  <c r="AM15" i="63" s="1"/>
  <c r="AQ15" i="63" a="1"/>
  <c r="AQ15" i="63" s="1"/>
  <c r="G13" i="63" a="1"/>
  <c r="G13" i="63" s="1"/>
  <c r="AK19" i="64" a="1"/>
  <c r="AK19" i="64" s="1"/>
  <c r="AP16" i="64" a="1"/>
  <c r="AP16" i="64" s="1"/>
  <c r="X20" i="64" a="1"/>
  <c r="X20" i="64" s="1"/>
  <c r="T20" i="64" a="1"/>
  <c r="T20" i="64" s="1"/>
  <c r="V20" i="64" a="1"/>
  <c r="V20" i="64" s="1"/>
  <c r="L16" i="64" a="1"/>
  <c r="L16" i="64" s="1"/>
  <c r="H14" i="66" a="1"/>
  <c r="H14" i="66" s="1"/>
  <c r="U14" i="66" a="1"/>
  <c r="U14" i="66" s="1"/>
  <c r="AA11" i="63" a="1"/>
  <c r="AA11" i="63" s="1"/>
  <c r="T11" i="63" a="1"/>
  <c r="T11" i="63" s="1"/>
  <c r="AD13" i="63" a="1"/>
  <c r="AD13" i="63" s="1"/>
  <c r="N15" i="63" a="1"/>
  <c r="N15" i="63" s="1"/>
  <c r="N16" i="63" a="1"/>
  <c r="N16" i="63" s="1"/>
  <c r="G17" i="63" a="1"/>
  <c r="G17" i="63" s="1"/>
  <c r="Y16" i="63" a="1"/>
  <c r="Y16" i="63" s="1"/>
  <c r="H15" i="63" a="1"/>
  <c r="H15" i="63" s="1"/>
  <c r="I11" i="63" a="1"/>
  <c r="I11" i="63" s="1"/>
  <c r="AJ15" i="63" a="1"/>
  <c r="AJ15" i="63" s="1"/>
  <c r="J17" i="63" a="1"/>
  <c r="J17" i="63" s="1"/>
  <c r="I10" i="63" a="1"/>
  <c r="I10" i="63" s="1"/>
  <c r="F12" i="63" a="1"/>
  <c r="F12" i="63" s="1"/>
  <c r="T18" i="63" a="1"/>
  <c r="T18" i="63" s="1"/>
  <c r="AJ20" i="63" a="1"/>
  <c r="AJ20" i="63" s="1"/>
  <c r="Y20" i="63" a="1"/>
  <c r="Y20" i="63" s="1"/>
  <c r="AS19" i="63" a="1"/>
  <c r="AS19" i="63" s="1"/>
  <c r="O17" i="63" a="1"/>
  <c r="O17" i="63" s="1"/>
  <c r="AN18" i="64" a="1"/>
  <c r="AN18" i="64" s="1"/>
  <c r="O14" i="64" a="1"/>
  <c r="O14" i="64" s="1"/>
  <c r="Z20" i="64" a="1"/>
  <c r="Z20" i="64" s="1"/>
  <c r="L19" i="64" a="1"/>
  <c r="L19" i="64" s="1"/>
  <c r="AQ16" i="64" a="1"/>
  <c r="AQ16" i="64" s="1"/>
  <c r="AR10" i="66" a="1"/>
  <c r="AR10" i="66" s="1"/>
  <c r="W10" i="66" a="1"/>
  <c r="W10" i="66" s="1"/>
  <c r="G15" i="63" a="1"/>
  <c r="G15" i="63" s="1"/>
  <c r="U19" i="63" a="1"/>
  <c r="U19" i="63" s="1"/>
  <c r="U13" i="63" a="1"/>
  <c r="U13" i="63" s="1"/>
  <c r="E20" i="63" a="1"/>
  <c r="E20" i="63" s="1"/>
  <c r="I15" i="63" a="1"/>
  <c r="I15" i="63" s="1"/>
  <c r="K15" i="63" a="1"/>
  <c r="K15" i="63" s="1"/>
  <c r="Y13" i="63" a="1"/>
  <c r="Y13" i="63" s="1"/>
  <c r="AI14" i="63" a="1"/>
  <c r="AI14" i="63" s="1"/>
  <c r="H18" i="63" a="1"/>
  <c r="H18" i="63" s="1"/>
  <c r="J18" i="63" a="1"/>
  <c r="J18" i="63" s="1"/>
  <c r="N10" i="63" a="1"/>
  <c r="N10" i="63" s="1"/>
  <c r="AR13" i="63" a="1"/>
  <c r="AR13" i="63" s="1"/>
  <c r="I18" i="63" a="1"/>
  <c r="I18" i="63" s="1"/>
  <c r="F20" i="63" a="1"/>
  <c r="F20" i="63" s="1"/>
  <c r="V14" i="63" a="1"/>
  <c r="V14" i="63" s="1"/>
  <c r="AC20" i="63" a="1"/>
  <c r="AC20" i="63" s="1"/>
  <c r="AQ20" i="63" a="1"/>
  <c r="AQ20" i="63" s="1"/>
  <c r="AN20" i="63" a="1"/>
  <c r="AN20" i="63" s="1"/>
  <c r="H12" i="63" a="1"/>
  <c r="H12" i="63" s="1"/>
  <c r="AL18" i="64" a="1"/>
  <c r="AL18" i="64" s="1"/>
  <c r="AD17" i="64" a="1"/>
  <c r="AD17" i="64" s="1"/>
  <c r="AB15" i="64" a="1"/>
  <c r="AB15" i="64" s="1"/>
  <c r="O17" i="64" a="1"/>
  <c r="O17" i="64" s="1"/>
  <c r="AP20" i="64" a="1"/>
  <c r="AP20" i="64" s="1"/>
  <c r="AP14" i="64" a="1"/>
  <c r="AP14" i="64" s="1"/>
  <c r="AM15" i="66" a="1"/>
  <c r="AM15" i="66" s="1"/>
  <c r="AK17" i="66" a="1"/>
  <c r="AK17" i="66" s="1"/>
  <c r="K14" i="63" a="1"/>
  <c r="K14" i="63" s="1"/>
  <c r="AK14" i="63" a="1"/>
  <c r="AK14" i="63" s="1"/>
  <c r="AB11" i="63" a="1"/>
  <c r="AB11" i="63" s="1"/>
  <c r="J12" i="63" a="1"/>
  <c r="J12" i="63" s="1"/>
  <c r="AR20" i="63" a="1"/>
  <c r="AR20" i="63" s="1"/>
  <c r="AA10" i="63" a="1"/>
  <c r="AA10" i="63" s="1"/>
  <c r="AM20" i="63" a="1"/>
  <c r="AM20" i="63" s="1"/>
  <c r="O14" i="63" a="1"/>
  <c r="O14" i="63" s="1"/>
  <c r="X17" i="63" a="1"/>
  <c r="X17" i="63" s="1"/>
  <c r="M11" i="63" a="1"/>
  <c r="M11" i="63" s="1"/>
  <c r="K20" i="63" a="1"/>
  <c r="K20" i="63" s="1"/>
  <c r="U20" i="64" a="1"/>
  <c r="U20" i="64" s="1"/>
  <c r="AM10" i="64" a="1"/>
  <c r="AM10" i="64" s="1"/>
  <c r="G10" i="64" a="1"/>
  <c r="G10" i="64" s="1"/>
  <c r="W18" i="64" a="1"/>
  <c r="W18" i="64" s="1"/>
  <c r="K19" i="64" a="1"/>
  <c r="K19" i="64" s="1"/>
  <c r="V14" i="64" a="1"/>
  <c r="V14" i="64" s="1"/>
  <c r="AM15" i="64" a="1"/>
  <c r="AM15" i="64" s="1"/>
  <c r="U12" i="66" a="1"/>
  <c r="U12" i="66" s="1"/>
  <c r="AM16" i="66" a="1"/>
  <c r="AM16" i="66" s="1"/>
  <c r="X12" i="63" a="1"/>
  <c r="X12" i="63" s="1"/>
  <c r="G14" i="63" a="1"/>
  <c r="G14" i="63" s="1"/>
  <c r="K18" i="63" a="1"/>
  <c r="K18" i="63" s="1"/>
  <c r="E14" i="63" a="1"/>
  <c r="E14" i="63" s="1"/>
  <c r="AK13" i="63" a="1"/>
  <c r="AK13" i="63" s="1"/>
  <c r="AI15" i="63" a="1"/>
  <c r="AI15" i="63" s="1"/>
  <c r="AM10" i="63" a="1"/>
  <c r="AM10" i="63" s="1"/>
  <c r="AO11" i="63" a="1"/>
  <c r="AO11" i="63" s="1"/>
  <c r="I12" i="64" a="1"/>
  <c r="I12" i="64" s="1"/>
  <c r="AB14" i="64" a="1"/>
  <c r="AB14" i="64" s="1"/>
  <c r="G16" i="64" a="1"/>
  <c r="G16" i="64" s="1"/>
  <c r="T16" i="64" a="1"/>
  <c r="T16" i="64" s="1"/>
  <c r="Z10" i="64" a="1"/>
  <c r="Z10" i="64" s="1"/>
  <c r="AK14" i="64" a="1"/>
  <c r="AK14" i="64" s="1"/>
  <c r="W16" i="64" a="1"/>
  <c r="W16" i="64" s="1"/>
  <c r="J18" i="64" a="1"/>
  <c r="J18" i="64" s="1"/>
  <c r="G18" i="63" a="1"/>
  <c r="G18" i="63" s="1"/>
  <c r="F18" i="63" a="1"/>
  <c r="F18" i="63" s="1"/>
  <c r="V19" i="63" a="1"/>
  <c r="V19" i="63" s="1"/>
  <c r="AL16" i="63" a="1"/>
  <c r="AL16" i="63" s="1"/>
  <c r="AD19" i="63" a="1"/>
  <c r="AD19" i="63" s="1"/>
  <c r="AR11" i="63" a="1"/>
  <c r="AR11" i="63" s="1"/>
  <c r="M16" i="63" a="1"/>
  <c r="M16" i="63" s="1"/>
  <c r="W15" i="63" a="1"/>
  <c r="W15" i="63" s="1"/>
  <c r="AO13" i="63" a="1"/>
  <c r="AO13" i="63" s="1"/>
  <c r="AL12" i="63" a="1"/>
  <c r="AL12" i="63" s="1"/>
  <c r="AQ13" i="63" a="1"/>
  <c r="AQ13" i="63" s="1"/>
  <c r="L10" i="63" a="1"/>
  <c r="L10" i="63" s="1"/>
  <c r="X18" i="63" a="1"/>
  <c r="X18" i="63" s="1"/>
  <c r="AR12" i="63" a="1"/>
  <c r="AR12" i="63" s="1"/>
  <c r="X13" i="63" a="1"/>
  <c r="X13" i="63" s="1"/>
  <c r="AN13" i="63" a="1"/>
  <c r="AN13" i="63" s="1"/>
  <c r="W10" i="63" a="1"/>
  <c r="W10" i="63" s="1"/>
  <c r="I20" i="63" a="1"/>
  <c r="I20" i="63" s="1"/>
  <c r="U14" i="63" a="1"/>
  <c r="U14" i="63" s="1"/>
  <c r="G11" i="63" a="1"/>
  <c r="G11" i="63" s="1"/>
  <c r="Y12" i="64" a="1"/>
  <c r="Y12" i="64" s="1"/>
  <c r="I15" i="64" a="1"/>
  <c r="I15" i="64" s="1"/>
  <c r="AL20" i="64" a="1"/>
  <c r="AL20" i="64" s="1"/>
  <c r="AP10" i="64" a="1"/>
  <c r="AP10" i="64" s="1"/>
  <c r="AI16" i="64" a="1"/>
  <c r="AI16" i="64" s="1"/>
  <c r="AS12" i="66" a="1"/>
  <c r="AS12" i="66" s="1"/>
  <c r="K17" i="63" a="1"/>
  <c r="K17" i="63" s="1"/>
  <c r="AR18" i="63" a="1"/>
  <c r="AR18" i="63" s="1"/>
  <c r="U17" i="63" a="1"/>
  <c r="U17" i="63" s="1"/>
  <c r="E17" i="63" a="1"/>
  <c r="E17" i="63" s="1"/>
  <c r="X20" i="63" a="1"/>
  <c r="X20" i="63" s="1"/>
  <c r="AP12" i="63" a="1"/>
  <c r="AP12" i="63" s="1"/>
  <c r="AC13" i="63" a="1"/>
  <c r="AC13" i="63" s="1"/>
  <c r="AR16" i="63" a="1"/>
  <c r="AR16" i="63" s="1"/>
  <c r="H16" i="63" a="1"/>
  <c r="H16" i="63" s="1"/>
  <c r="AB12" i="63" a="1"/>
  <c r="AB12" i="63" s="1"/>
  <c r="AC18" i="63" a="1"/>
  <c r="AC18" i="63" s="1"/>
  <c r="H11" i="63" a="1"/>
  <c r="H11" i="63" s="1"/>
  <c r="AJ19" i="63" a="1"/>
  <c r="AJ19" i="63" s="1"/>
  <c r="Y14" i="63" a="1"/>
  <c r="Y14" i="63" s="1"/>
  <c r="E19" i="63" a="1"/>
  <c r="E19" i="63" s="1"/>
  <c r="Z17" i="63" a="1"/>
  <c r="Z17" i="63" s="1"/>
  <c r="AM13" i="63" a="1"/>
  <c r="AM13" i="63" s="1"/>
  <c r="Z11" i="63" a="1"/>
  <c r="Z11" i="63" s="1"/>
  <c r="I13" i="63" a="1"/>
  <c r="I13" i="63" s="1"/>
  <c r="L12" i="63" a="1"/>
  <c r="L12" i="63" s="1"/>
  <c r="AI16" i="63" a="1"/>
  <c r="AI16" i="63" s="1"/>
  <c r="AQ11" i="63" a="1"/>
  <c r="AQ11" i="63" s="1"/>
  <c r="AD12" i="63" a="1"/>
  <c r="AD12" i="63" s="1"/>
  <c r="AP18" i="63" a="1"/>
  <c r="AP18" i="63" s="1"/>
  <c r="AL20" i="63" a="1"/>
  <c r="AL20" i="63" s="1"/>
  <c r="AD18" i="63" a="1"/>
  <c r="AD18" i="63" s="1"/>
  <c r="AS14" i="63" a="1"/>
  <c r="AS14" i="63" s="1"/>
  <c r="M20" i="63" a="1"/>
  <c r="M20" i="63" s="1"/>
  <c r="AB19" i="63" a="1"/>
  <c r="AB19" i="63" s="1"/>
  <c r="AP14" i="63" a="1"/>
  <c r="AP14" i="63" s="1"/>
  <c r="AA13" i="63" a="1"/>
  <c r="AA13" i="63" s="1"/>
  <c r="AO15" i="63" a="1"/>
  <c r="AO15" i="63" s="1"/>
  <c r="AN16" i="63" a="1"/>
  <c r="AN16" i="63" s="1"/>
  <c r="AO20" i="63" a="1"/>
  <c r="AO20" i="63" s="1"/>
  <c r="AN14" i="63" a="1"/>
  <c r="AN14" i="63" s="1"/>
  <c r="AP20" i="63" a="1"/>
  <c r="AP20" i="63" s="1"/>
  <c r="T17" i="63" a="1"/>
  <c r="T17" i="63" s="1"/>
  <c r="AR14" i="63" a="1"/>
  <c r="AR14" i="63" s="1"/>
  <c r="K10" i="63" a="1"/>
  <c r="K10" i="63" s="1"/>
  <c r="V17" i="63" a="1"/>
  <c r="V17" i="63" s="1"/>
  <c r="AP11" i="63" a="1"/>
  <c r="AP11" i="63" s="1"/>
  <c r="F13" i="63" a="1"/>
  <c r="F13" i="63" s="1"/>
  <c r="H19" i="63" a="1"/>
  <c r="H19" i="63" s="1"/>
  <c r="AJ12" i="63" a="1"/>
  <c r="AJ12" i="63" s="1"/>
  <c r="AI17" i="63" a="1"/>
  <c r="AI17" i="63" s="1"/>
  <c r="J10" i="63" a="1"/>
  <c r="J10" i="63" s="1"/>
  <c r="G20" i="63" a="1"/>
  <c r="G20" i="63" s="1"/>
  <c r="AA20" i="63" a="1"/>
  <c r="AA20" i="63" s="1"/>
  <c r="O18" i="63" a="1"/>
  <c r="O18" i="63" s="1"/>
  <c r="T15" i="63" a="1"/>
  <c r="T15" i="63" s="1"/>
  <c r="E13" i="63" a="1"/>
  <c r="E13" i="63" s="1"/>
  <c r="AN11" i="63" a="1"/>
  <c r="AN11" i="63" s="1"/>
  <c r="AK15" i="63" a="1"/>
  <c r="AK15" i="63" s="1"/>
  <c r="X10" i="63" a="1"/>
  <c r="X10" i="63" s="1"/>
  <c r="AK19" i="63" a="1"/>
  <c r="AK19" i="63" s="1"/>
  <c r="AK17" i="63" a="1"/>
  <c r="AK17" i="63" s="1"/>
  <c r="I17" i="63" a="1"/>
  <c r="I17" i="63" s="1"/>
  <c r="AC15" i="63" a="1"/>
  <c r="AC15" i="63" s="1"/>
  <c r="O16" i="63" a="1"/>
  <c r="O16" i="63" s="1"/>
  <c r="AS15" i="63" a="1"/>
  <c r="AS15" i="63" s="1"/>
  <c r="M14" i="63" a="1"/>
  <c r="M14" i="63" s="1"/>
  <c r="AM19" i="63" a="1"/>
  <c r="AM19" i="63" s="1"/>
  <c r="AD10" i="63" a="1"/>
  <c r="AD10" i="63" s="1"/>
  <c r="AJ18" i="63" a="1"/>
  <c r="AJ18" i="63" s="1"/>
  <c r="Y18" i="63" a="1"/>
  <c r="Y18" i="63" s="1"/>
  <c r="I12" i="63" a="1"/>
  <c r="I12" i="63" s="1"/>
  <c r="AL18" i="63" a="1"/>
  <c r="AL18" i="63" s="1"/>
  <c r="Z15" i="63" a="1"/>
  <c r="Z15" i="63" s="1"/>
  <c r="AQ10" i="63" a="1"/>
  <c r="AQ10" i="63" s="1"/>
  <c r="AK18" i="63" a="1"/>
  <c r="AK18" i="63" s="1"/>
  <c r="L19" i="63" a="1"/>
  <c r="L19" i="63" s="1"/>
  <c r="U12" i="63" a="1"/>
  <c r="U12" i="63" s="1"/>
  <c r="W20" i="63" a="1"/>
  <c r="W20" i="63" s="1"/>
  <c r="I19" i="63" a="1"/>
  <c r="I19" i="63" s="1"/>
  <c r="L14" i="63" a="1"/>
  <c r="L14" i="63" s="1"/>
  <c r="O13" i="63" a="1"/>
  <c r="O13" i="63" s="1"/>
  <c r="AQ16" i="63" a="1"/>
  <c r="AQ16" i="63" s="1"/>
  <c r="AS11" i="63" a="1"/>
  <c r="AS11" i="63" s="1"/>
  <c r="AI13" i="63" a="1"/>
  <c r="AI13" i="63" s="1"/>
  <c r="AM16" i="63" a="1"/>
  <c r="AM16" i="63" s="1"/>
  <c r="AK11" i="63" a="1"/>
  <c r="AK11" i="63" s="1"/>
  <c r="AC10" i="63" a="1"/>
  <c r="AC10" i="63" s="1"/>
  <c r="Z20" i="63" a="1"/>
  <c r="Z20" i="63" s="1"/>
  <c r="AD16" i="63" a="1"/>
  <c r="AD16" i="63" s="1"/>
  <c r="K11" i="63" a="1"/>
  <c r="K11" i="63" s="1"/>
  <c r="V20" i="63" a="1"/>
  <c r="V20" i="63" s="1"/>
  <c r="E18" i="63" a="1"/>
  <c r="E18" i="63" s="1"/>
  <c r="J19" i="63" a="1"/>
  <c r="J19" i="63" s="1"/>
  <c r="M10" i="63" a="1"/>
  <c r="M10" i="63" s="1"/>
  <c r="X19" i="63" a="1"/>
  <c r="X19" i="63" s="1"/>
  <c r="T16" i="63" a="1"/>
  <c r="T16" i="63" s="1"/>
  <c r="G19" i="63" a="1"/>
  <c r="G19" i="63" s="1"/>
  <c r="N14" i="63" a="1"/>
  <c r="N14" i="63" s="1"/>
  <c r="X11" i="63" a="1"/>
  <c r="X11" i="63" s="1"/>
  <c r="AK20" i="63" a="1"/>
  <c r="AK20" i="63" s="1"/>
  <c r="AO19" i="63" a="1"/>
  <c r="AO19" i="63" s="1"/>
  <c r="X16" i="63" a="1"/>
  <c r="X16" i="63" s="1"/>
  <c r="AJ13" i="63" a="1"/>
  <c r="AJ13" i="63" s="1"/>
  <c r="AP15" i="63" a="1"/>
  <c r="AP15" i="63" s="1"/>
  <c r="M15" i="63" a="1"/>
  <c r="M15" i="63" s="1"/>
  <c r="AL10" i="63" a="1"/>
  <c r="AL10" i="63" s="1"/>
  <c r="E12" i="63" a="1"/>
  <c r="E12" i="63" s="1"/>
  <c r="AO18" i="63" a="1"/>
  <c r="AO18" i="63" s="1"/>
  <c r="AS13" i="63" a="1"/>
  <c r="AS13" i="63" s="1"/>
  <c r="H10" i="63" a="1"/>
  <c r="H10" i="63" s="1"/>
  <c r="AQ17" i="63" a="1"/>
  <c r="AQ17" i="63" s="1"/>
  <c r="J11" i="63" a="1"/>
  <c r="J11" i="63" s="1"/>
  <c r="N13" i="63" a="1"/>
  <c r="N13" i="63" s="1"/>
  <c r="F15" i="63" a="1"/>
  <c r="F15" i="63" s="1"/>
  <c r="O11" i="63" a="1"/>
  <c r="O11" i="63" s="1"/>
  <c r="U16" i="63" a="1"/>
  <c r="U16" i="63" s="1"/>
  <c r="AL17" i="63" a="1"/>
  <c r="AL17" i="63" s="1"/>
  <c r="AC14" i="63" a="1"/>
  <c r="AC14" i="63" s="1"/>
  <c r="V13" i="63" a="1"/>
  <c r="V13" i="63" s="1"/>
  <c r="AB14" i="63" a="1"/>
  <c r="AB14" i="63" s="1"/>
  <c r="AS10" i="63" a="1"/>
  <c r="AS10" i="63" s="1"/>
  <c r="Y19" i="63" a="1"/>
  <c r="Y19" i="63" s="1"/>
  <c r="AM17" i="63" a="1"/>
  <c r="AM17" i="63" s="1"/>
  <c r="F17" i="63" a="1"/>
  <c r="F17" i="63" s="1"/>
  <c r="AA18" i="63" a="1"/>
  <c r="AA18" i="63" s="1"/>
  <c r="O19" i="63" a="1"/>
  <c r="O19" i="63" s="1"/>
  <c r="AP13" i="63" a="1"/>
  <c r="AP13" i="63" s="1"/>
  <c r="I16" i="63" a="1"/>
  <c r="I16" i="63" s="1"/>
  <c r="F19" i="63" a="1"/>
  <c r="F19" i="63" s="1"/>
  <c r="F14" i="63" a="1"/>
  <c r="F14" i="63" s="1"/>
  <c r="AS12" i="64" a="1"/>
  <c r="AS12" i="64" s="1"/>
  <c r="Z15" i="64" a="1"/>
  <c r="Z15" i="64" s="1"/>
  <c r="N18" i="64" a="1"/>
  <c r="N18" i="64" s="1"/>
  <c r="I17" i="64" a="1"/>
  <c r="I17" i="64" s="1"/>
  <c r="W15" i="64" a="1"/>
  <c r="W15" i="64" s="1"/>
  <c r="T12" i="64" a="1"/>
  <c r="T12" i="64" s="1"/>
  <c r="AD10" i="64" a="1"/>
  <c r="AD10" i="64" s="1"/>
  <c r="Y16" i="64" a="1"/>
  <c r="Y16" i="64" s="1"/>
  <c r="AB20" i="66" a="1"/>
  <c r="AB20" i="66" s="1"/>
  <c r="AL15" i="66" a="1"/>
  <c r="AL15" i="66" s="1"/>
  <c r="E15" i="63" a="1"/>
  <c r="E15" i="63" s="1"/>
  <c r="AC17" i="63" a="1"/>
  <c r="AC17" i="63" s="1"/>
  <c r="T20" i="63" a="1"/>
  <c r="T20" i="63" s="1"/>
  <c r="AR17" i="63" a="1"/>
  <c r="AR17" i="63" s="1"/>
  <c r="W11" i="63" a="1"/>
  <c r="W11" i="63" s="1"/>
  <c r="M13" i="63" a="1"/>
  <c r="M13" i="63" s="1"/>
  <c r="AI12" i="63" a="1"/>
  <c r="AI12" i="63" s="1"/>
  <c r="AA12" i="63" a="1"/>
  <c r="AA12" i="63" s="1"/>
  <c r="H17" i="63" a="1"/>
  <c r="H17" i="63" s="1"/>
  <c r="AA19" i="63" a="1"/>
  <c r="AA19" i="63" s="1"/>
  <c r="T14" i="63" a="1"/>
  <c r="T14" i="63" s="1"/>
  <c r="N11" i="63" a="1"/>
  <c r="N11" i="63" s="1"/>
  <c r="AB10" i="63" a="1"/>
  <c r="AB10" i="63" s="1"/>
  <c r="L16" i="63" a="1"/>
  <c r="L16" i="63" s="1"/>
  <c r="Z13" i="63" a="1"/>
  <c r="Z13" i="63" s="1"/>
  <c r="AI11" i="63" a="1"/>
  <c r="AI11" i="63" s="1"/>
  <c r="U18" i="63" a="1"/>
  <c r="U18" i="63" s="1"/>
  <c r="T19" i="63" a="1"/>
  <c r="T19" i="63" s="1"/>
  <c r="M12" i="63" a="1"/>
  <c r="M12" i="63" s="1"/>
  <c r="J13" i="63" a="1"/>
  <c r="J13" i="63" s="1"/>
  <c r="AO17" i="64" a="1"/>
  <c r="AO17" i="64" s="1"/>
  <c r="AR12" i="64" a="1"/>
  <c r="AR12" i="64" s="1"/>
  <c r="M15" i="64" a="1"/>
  <c r="M15" i="64" s="1"/>
  <c r="AA16" i="64" a="1"/>
  <c r="AA16" i="64" s="1"/>
  <c r="AB12" i="64" a="1"/>
  <c r="AB12" i="64" s="1"/>
  <c r="AR16" i="64" a="1"/>
  <c r="AR16" i="64" s="1"/>
  <c r="G15" i="66" a="1"/>
  <c r="G15" i="66" s="1"/>
  <c r="U14" i="61" a="1"/>
  <c r="U14" i="61" s="1"/>
  <c r="V18" i="61" a="1"/>
  <c r="V18" i="61" s="1"/>
  <c r="AL18" i="61" a="1"/>
  <c r="AL18" i="61" s="1"/>
  <c r="H18" i="61" a="1"/>
  <c r="H18" i="61" s="1"/>
  <c r="AO19" i="61" a="1"/>
  <c r="AO19" i="61" s="1"/>
  <c r="M17" i="61" a="1"/>
  <c r="M17" i="61" s="1"/>
  <c r="AQ16" i="61" a="1"/>
  <c r="AQ16" i="61" s="1"/>
  <c r="E17" i="61" a="1"/>
  <c r="E17" i="61" s="1"/>
  <c r="Y10" i="61" a="1"/>
  <c r="Y10" i="61" s="1"/>
  <c r="AB14" i="61" a="1"/>
  <c r="AB14" i="61" s="1"/>
  <c r="AN12" i="61" a="1"/>
  <c r="AN12" i="61" s="1"/>
  <c r="AM10" i="61" a="1"/>
  <c r="AM10" i="61" s="1"/>
  <c r="Z19" i="61" a="1"/>
  <c r="Z19" i="61" s="1"/>
  <c r="AA10" i="61" a="1"/>
  <c r="AA10" i="61" s="1"/>
  <c r="J17" i="61" a="1"/>
  <c r="J17" i="61" s="1"/>
  <c r="AR18" i="61" a="1"/>
  <c r="AR18" i="61" s="1"/>
  <c r="AN20" i="61" a="1"/>
  <c r="AN20" i="61" s="1"/>
  <c r="F19" i="61" a="1"/>
  <c r="F19" i="61" s="1"/>
  <c r="AJ15" i="61" a="1"/>
  <c r="AJ15" i="61" s="1"/>
  <c r="W10" i="65" a="1"/>
  <c r="W10" i="65" s="1"/>
  <c r="AS14" i="65" a="1"/>
  <c r="AS14" i="65" s="1"/>
  <c r="O18" i="65" a="1"/>
  <c r="O18" i="65" s="1"/>
  <c r="AK15" i="65" a="1"/>
  <c r="AK15" i="65" s="1"/>
  <c r="AI12" i="61" a="1"/>
  <c r="AI12" i="61" s="1"/>
  <c r="AS15" i="61" a="1"/>
  <c r="AS15" i="61" s="1"/>
  <c r="AB17" i="61" a="1"/>
  <c r="AB17" i="61" s="1"/>
  <c r="AK10" i="61" a="1"/>
  <c r="AK10" i="61" s="1"/>
  <c r="U12" i="61" a="1"/>
  <c r="U12" i="61" s="1"/>
  <c r="L18" i="61" a="1"/>
  <c r="L18" i="61" s="1"/>
  <c r="I20" i="61" a="1"/>
  <c r="I20" i="61" s="1"/>
  <c r="M14" i="61" a="1"/>
  <c r="M14" i="61" s="1"/>
  <c r="H12" i="61" a="1"/>
  <c r="H12" i="61" s="1"/>
  <c r="AP18" i="61" a="1"/>
  <c r="AP18" i="61" s="1"/>
  <c r="AK15" i="61" a="1"/>
  <c r="AK15" i="61" s="1"/>
  <c r="AD16" i="61" a="1"/>
  <c r="AD16" i="61" s="1"/>
  <c r="J20" i="61" a="1"/>
  <c r="J20" i="61" s="1"/>
  <c r="K14" i="61" a="1"/>
  <c r="K14" i="61" s="1"/>
  <c r="U18" i="61" a="1"/>
  <c r="U18" i="61" s="1"/>
  <c r="K10" i="61" a="1"/>
  <c r="K10" i="61" s="1"/>
  <c r="G19" i="61" a="1"/>
  <c r="G19" i="61" s="1"/>
  <c r="V17" i="61" a="1"/>
  <c r="V17" i="61" s="1"/>
  <c r="M12" i="61" a="1"/>
  <c r="M12" i="61" s="1"/>
  <c r="O12" i="61" a="1"/>
  <c r="O12" i="61" s="1"/>
  <c r="AK17" i="61" a="1"/>
  <c r="AK17" i="61" s="1"/>
  <c r="AN18" i="61" a="1"/>
  <c r="AN18" i="61" s="1"/>
  <c r="N18" i="61" a="1"/>
  <c r="N18" i="61" s="1"/>
  <c r="AM15" i="61" a="1"/>
  <c r="AM15" i="61" s="1"/>
  <c r="AQ14" i="61" a="1"/>
  <c r="AQ14" i="61" s="1"/>
  <c r="Z15" i="65" a="1"/>
  <c r="Z15" i="65" s="1"/>
  <c r="V18" i="65" a="1"/>
  <c r="V18" i="65" s="1"/>
  <c r="K12" i="65" a="1"/>
  <c r="K12" i="65" s="1"/>
  <c r="AN19" i="65" a="1"/>
  <c r="AN19" i="65" s="1"/>
  <c r="I10" i="65" a="1"/>
  <c r="I10" i="65" s="1"/>
  <c r="U18" i="65" a="1"/>
  <c r="U18" i="65" s="1"/>
  <c r="AO12" i="65" a="1"/>
  <c r="AO12" i="65" s="1"/>
  <c r="AL19" i="65" a="1"/>
  <c r="AL19" i="65" s="1"/>
  <c r="AA20" i="65" a="1"/>
  <c r="AA20" i="65" s="1"/>
  <c r="AB12" i="65" a="1"/>
  <c r="AB12" i="65" s="1"/>
  <c r="I18" i="65" a="1"/>
  <c r="I18" i="65" s="1"/>
  <c r="AL20" i="65" a="1"/>
  <c r="AL20" i="65" s="1"/>
  <c r="W20" i="65" a="1"/>
  <c r="W20" i="65" s="1"/>
  <c r="H18" i="65" a="1"/>
  <c r="H18" i="65" s="1"/>
  <c r="AQ20" i="65" a="1"/>
  <c r="AQ20" i="65" s="1"/>
  <c r="AK19" i="65" a="1"/>
  <c r="AK19" i="65" s="1"/>
  <c r="AJ12" i="65" a="1"/>
  <c r="AJ12" i="65" s="1"/>
  <c r="E14" i="65" a="1"/>
  <c r="E14" i="65" s="1"/>
  <c r="N15" i="65" a="1"/>
  <c r="N15" i="65" s="1"/>
  <c r="I17" i="65" a="1"/>
  <c r="I17" i="65" s="1"/>
  <c r="AK14" i="65" a="1"/>
  <c r="AK14" i="65" s="1"/>
  <c r="J10" i="65" a="1"/>
  <c r="J10" i="65" s="1"/>
  <c r="AQ15" i="65" a="1"/>
  <c r="AQ15" i="65" s="1"/>
  <c r="H17" i="65" a="1"/>
  <c r="H17" i="65" s="1"/>
  <c r="AD12" i="65" a="1"/>
  <c r="AD12" i="65" s="1"/>
  <c r="AC15" i="65" a="1"/>
  <c r="AC15" i="65" s="1"/>
  <c r="AQ10" i="65" a="1"/>
  <c r="AQ10" i="65" s="1"/>
  <c r="AP12" i="65" a="1"/>
  <c r="AP12" i="65" s="1"/>
  <c r="N16" i="65" a="1"/>
  <c r="N16" i="65" s="1"/>
  <c r="AJ18" i="65" a="1"/>
  <c r="AJ18" i="65" s="1"/>
  <c r="F15" i="65" a="1"/>
  <c r="F15" i="65" s="1"/>
  <c r="N17" i="65" a="1"/>
  <c r="N17" i="65" s="1"/>
  <c r="E16" i="65" a="1"/>
  <c r="E16" i="65" s="1"/>
  <c r="AD17" i="65" a="1"/>
  <c r="AD17" i="65" s="1"/>
  <c r="AO20" i="65" a="1"/>
  <c r="AO20" i="65" s="1"/>
  <c r="AR12" i="65" a="1"/>
  <c r="AR12" i="65" s="1"/>
  <c r="AI18" i="65" a="1"/>
  <c r="AI18" i="65" s="1"/>
  <c r="AM20" i="65" a="1"/>
  <c r="AM20" i="65" s="1"/>
  <c r="AP15" i="65" a="1"/>
  <c r="AP15" i="65" s="1"/>
  <c r="O19" i="65" a="1"/>
  <c r="O19" i="65" s="1"/>
  <c r="T15" i="65" a="1"/>
  <c r="T15" i="65" s="1"/>
  <c r="K15" i="65" a="1"/>
  <c r="K15" i="65" s="1"/>
  <c r="K10" i="65" a="1"/>
  <c r="K10" i="65" s="1"/>
  <c r="H15" i="65" a="1"/>
  <c r="H15" i="65" s="1"/>
  <c r="L12" i="65" a="1"/>
  <c r="L12" i="65" s="1"/>
  <c r="K18" i="65" a="1"/>
  <c r="K18" i="65" s="1"/>
  <c r="W16" i="65" a="1"/>
  <c r="W16" i="65" s="1"/>
  <c r="AQ17" i="65" a="1"/>
  <c r="AQ17" i="65" s="1"/>
  <c r="N18" i="65" a="1"/>
  <c r="N18" i="65" s="1"/>
  <c r="K20" i="65" a="1"/>
  <c r="K20" i="65" s="1"/>
  <c r="U16" i="65" a="1"/>
  <c r="U16" i="65" s="1"/>
  <c r="G14" i="65" a="1"/>
  <c r="G14" i="65" s="1"/>
  <c r="W15" i="65" a="1"/>
  <c r="W15" i="65" s="1"/>
  <c r="T14" i="65" a="1"/>
  <c r="T14" i="65" s="1"/>
  <c r="AP20" i="65" a="1"/>
  <c r="AP20" i="65" s="1"/>
  <c r="U14" i="65" a="1"/>
  <c r="U14" i="65" s="1"/>
  <c r="AR17" i="65" a="1"/>
  <c r="AR17" i="65" s="1"/>
  <c r="U20" i="65" a="1"/>
  <c r="U20" i="65" s="1"/>
  <c r="AR15" i="65" a="1"/>
  <c r="AR15" i="65" s="1"/>
  <c r="U19" i="65" a="1"/>
  <c r="U19" i="65" s="1"/>
  <c r="O12" i="65" a="1"/>
  <c r="O12" i="65" s="1"/>
  <c r="AI20" i="65" a="1"/>
  <c r="AI20" i="65" s="1"/>
  <c r="AP18" i="65" a="1"/>
  <c r="AP18" i="65" s="1"/>
  <c r="F20" i="65" a="1"/>
  <c r="F20" i="65" s="1"/>
  <c r="AM16" i="65" a="1"/>
  <c r="AM16" i="65" s="1"/>
  <c r="AO14" i="65" a="1"/>
  <c r="AO14" i="65" s="1"/>
  <c r="AS15" i="65" a="1"/>
  <c r="AS15" i="65" s="1"/>
  <c r="G15" i="65" a="1"/>
  <c r="G15" i="65" s="1"/>
  <c r="AA12" i="65" a="1"/>
  <c r="AA12" i="65" s="1"/>
  <c r="L16" i="65" a="1"/>
  <c r="L16" i="65" s="1"/>
  <c r="N12" i="65" a="1"/>
  <c r="N12" i="65" s="1"/>
  <c r="AL16" i="65" a="1"/>
  <c r="AL16" i="65" s="1"/>
  <c r="AL14" i="65" a="1"/>
  <c r="AL14" i="65" s="1"/>
  <c r="X18" i="65" a="1"/>
  <c r="X18" i="65" s="1"/>
  <c r="E15" i="65" a="1"/>
  <c r="E15" i="65" s="1"/>
  <c r="AA14" i="65" a="1"/>
  <c r="AA14" i="65" s="1"/>
  <c r="Y10" i="65" a="1"/>
  <c r="Y10" i="65" s="1"/>
  <c r="AQ16" i="65" a="1"/>
  <c r="AQ16" i="65" s="1"/>
  <c r="M17" i="65" a="1"/>
  <c r="M17" i="65" s="1"/>
  <c r="AM12" i="65" a="1"/>
  <c r="AM12" i="65" s="1"/>
  <c r="AK10" i="65" a="1"/>
  <c r="AK10" i="65" s="1"/>
  <c r="H20" i="65" a="1"/>
  <c r="H20" i="65" s="1"/>
  <c r="AB15" i="65" a="1"/>
  <c r="AB15" i="65" s="1"/>
  <c r="AO18" i="65" a="1"/>
  <c r="AO18" i="65" s="1"/>
  <c r="AN12" i="65" a="1"/>
  <c r="AN12" i="65" s="1"/>
  <c r="AI15" i="65" a="1"/>
  <c r="AI15" i="65" s="1"/>
  <c r="AN16" i="65" a="1"/>
  <c r="AN16" i="65" s="1"/>
  <c r="I12" i="65" a="1"/>
  <c r="I12" i="65" s="1"/>
  <c r="L18" i="65" a="1"/>
  <c r="L18" i="65" s="1"/>
  <c r="AI17" i="65" a="1"/>
  <c r="AI17" i="65" s="1"/>
  <c r="L10" i="65" a="1"/>
  <c r="L10" i="65" s="1"/>
  <c r="W17" i="65" a="1"/>
  <c r="W17" i="65" s="1"/>
  <c r="AK18" i="65" a="1"/>
  <c r="AK18" i="65" s="1"/>
  <c r="Y16" i="65" a="1"/>
  <c r="Y16" i="65" s="1"/>
  <c r="AJ19" i="65" a="1"/>
  <c r="AJ19" i="65" s="1"/>
  <c r="U17" i="65" a="1"/>
  <c r="U17" i="65" s="1"/>
  <c r="F18" i="65" a="1"/>
  <c r="F18" i="65" s="1"/>
  <c r="AC12" i="65" a="1"/>
  <c r="AC12" i="65" s="1"/>
  <c r="X19" i="65" a="1"/>
  <c r="X19" i="65" s="1"/>
  <c r="AD18" i="65" a="1"/>
  <c r="AD18" i="65" s="1"/>
  <c r="G20" i="65" a="1"/>
  <c r="G20" i="65" s="1"/>
  <c r="AL10" i="65" a="1"/>
  <c r="AL10" i="65" s="1"/>
  <c r="L15" i="65" a="1"/>
  <c r="L15" i="65" s="1"/>
  <c r="T19" i="65" a="1"/>
  <c r="T19" i="65" s="1"/>
  <c r="AS10" i="65" a="1"/>
  <c r="AS10" i="65" s="1"/>
  <c r="Y17" i="65" a="1"/>
  <c r="Y17" i="65" s="1"/>
  <c r="M19" i="65" a="1"/>
  <c r="M19" i="65" s="1"/>
  <c r="AA18" i="65" a="1"/>
  <c r="AA18" i="65" s="1"/>
  <c r="J16" i="65" a="1"/>
  <c r="J16" i="65" s="1"/>
  <c r="O10" i="65" a="1"/>
  <c r="O10" i="65" s="1"/>
  <c r="I19" i="65" a="1"/>
  <c r="I19" i="65" s="1"/>
  <c r="O16" i="65" a="1"/>
  <c r="O16" i="65" s="1"/>
  <c r="Y12" i="65" a="1"/>
  <c r="Y12" i="65" s="1"/>
  <c r="I20" i="65" a="1"/>
  <c r="I20" i="65" s="1"/>
  <c r="Z20" i="65" a="1"/>
  <c r="Z20" i="65" s="1"/>
  <c r="V17" i="65" a="1"/>
  <c r="V17" i="65" s="1"/>
  <c r="AR16" i="65" a="1"/>
  <c r="AR16" i="65" s="1"/>
  <c r="AP10" i="65" a="1"/>
  <c r="AP10" i="65" s="1"/>
  <c r="O17" i="65" a="1"/>
  <c r="O17" i="65" s="1"/>
  <c r="AJ14" i="65" a="1"/>
  <c r="AJ14" i="65" s="1"/>
  <c r="T18" i="65" a="1"/>
  <c r="T18" i="65" s="1"/>
  <c r="Z17" i="65" a="1"/>
  <c r="Z17" i="65" s="1"/>
  <c r="AB16" i="65" a="1"/>
  <c r="AB16" i="65" s="1"/>
  <c r="AA19" i="65" a="1"/>
  <c r="AA19" i="65" s="1"/>
  <c r="G10" i="65" a="1"/>
  <c r="G10" i="65" s="1"/>
  <c r="AJ15" i="65" a="1"/>
  <c r="AJ15" i="65" s="1"/>
  <c r="T20" i="65" a="1"/>
  <c r="T20" i="65" s="1"/>
  <c r="X20" i="65" a="1"/>
  <c r="X20" i="65" s="1"/>
  <c r="AP14" i="65" a="1"/>
  <c r="AP14" i="65" s="1"/>
  <c r="AL18" i="65" a="1"/>
  <c r="AL18" i="65" s="1"/>
  <c r="L20" i="65" a="1"/>
  <c r="L20" i="65" s="1"/>
  <c r="V14" i="65" a="1"/>
  <c r="V14" i="65" s="1"/>
  <c r="H14" i="65" a="1"/>
  <c r="H14" i="65" s="1"/>
  <c r="G18" i="65" a="1"/>
  <c r="G18" i="65" s="1"/>
  <c r="K17" i="65" a="1"/>
  <c r="K17" i="65" s="1"/>
  <c r="AQ14" i="65" a="1"/>
  <c r="AQ14" i="65" s="1"/>
  <c r="M20" i="65" a="1"/>
  <c r="M20" i="65" s="1"/>
  <c r="AB14" i="65" a="1"/>
  <c r="AB14" i="65" s="1"/>
  <c r="AC14" i="65" a="1"/>
  <c r="AC14" i="65" s="1"/>
  <c r="E17" i="65" a="1"/>
  <c r="E17" i="65" s="1"/>
  <c r="AM15" i="65" a="1"/>
  <c r="AM15" i="65" s="1"/>
  <c r="U10" i="65" a="1"/>
  <c r="U10" i="65" s="1"/>
  <c r="AA16" i="65" a="1"/>
  <c r="AA16" i="65" s="1"/>
  <c r="Y20" i="65" a="1"/>
  <c r="Y20" i="65" s="1"/>
  <c r="F12" i="65" a="1"/>
  <c r="F12" i="65" s="1"/>
  <c r="Y18" i="65" a="1"/>
  <c r="Y18" i="65" s="1"/>
  <c r="F16" i="65" a="1"/>
  <c r="F16" i="65" s="1"/>
  <c r="W19" i="65" a="1"/>
  <c r="W19" i="65" s="1"/>
  <c r="V15" i="65" a="1"/>
  <c r="V15" i="65" s="1"/>
  <c r="Y19" i="65" a="1"/>
  <c r="Y19" i="65" s="1"/>
  <c r="V10" i="65" a="1"/>
  <c r="V10" i="65" s="1"/>
  <c r="E19" i="65" a="1"/>
  <c r="E19" i="65" s="1"/>
  <c r="AD10" i="65" a="1"/>
  <c r="AD10" i="65" s="1"/>
  <c r="J18" i="65" a="1"/>
  <c r="J18" i="65" s="1"/>
  <c r="AJ10" i="65" a="1"/>
  <c r="AJ10" i="65" s="1"/>
  <c r="J20" i="65" a="1"/>
  <c r="J20" i="65" s="1"/>
  <c r="AK16" i="65" a="1"/>
  <c r="AK16" i="65" s="1"/>
  <c r="AM19" i="65" a="1"/>
  <c r="AM19" i="65" s="1"/>
  <c r="W12" i="65" a="1"/>
  <c r="W12" i="65" s="1"/>
  <c r="AC16" i="65" a="1"/>
  <c r="AC16" i="65" s="1"/>
  <c r="AL12" i="65" a="1"/>
  <c r="AL12" i="65" s="1"/>
  <c r="X10" i="65" a="1"/>
  <c r="X10" i="65" s="1"/>
  <c r="AI12" i="65" a="1"/>
  <c r="AI12" i="65" s="1"/>
  <c r="Z10" i="65" a="1"/>
  <c r="Z10" i="65" s="1"/>
  <c r="G16" i="65" a="1"/>
  <c r="G16" i="65" s="1"/>
  <c r="AN10" i="65" a="1"/>
  <c r="AN10" i="65" s="1"/>
  <c r="H16" i="65" a="1"/>
  <c r="H16" i="65" s="1"/>
  <c r="AD16" i="65" a="1"/>
  <c r="AD16" i="65" s="1"/>
  <c r="N10" i="65" a="1"/>
  <c r="N10" i="65" s="1"/>
  <c r="E20" i="65" a="1"/>
  <c r="E20" i="65" s="1"/>
  <c r="AP19" i="65" a="1"/>
  <c r="AP19" i="65" s="1"/>
  <c r="X15" i="65" a="1"/>
  <c r="X15" i="65" s="1"/>
  <c r="O14" i="65" a="1"/>
  <c r="O14" i="65" s="1"/>
  <c r="AI19" i="65" a="1"/>
  <c r="AI19" i="65" s="1"/>
  <c r="H12" i="65" a="1"/>
  <c r="H12" i="65" s="1"/>
  <c r="G19" i="65" a="1"/>
  <c r="G19" i="65" s="1"/>
  <c r="AQ12" i="65" a="1"/>
  <c r="AQ12" i="65" s="1"/>
  <c r="AM18" i="65" a="1"/>
  <c r="AM18" i="65" s="1"/>
  <c r="V20" i="65" a="1"/>
  <c r="V20" i="65" s="1"/>
  <c r="AS18" i="65" a="1"/>
  <c r="AS18" i="65" s="1"/>
  <c r="AN20" i="65" a="1"/>
  <c r="AN20" i="65" s="1"/>
  <c r="Z18" i="65" a="1"/>
  <c r="Z18" i="65" s="1"/>
  <c r="AM17" i="65" a="1"/>
  <c r="AM17" i="65" s="1"/>
  <c r="AJ17" i="65" a="1"/>
  <c r="AJ17" i="65" s="1"/>
  <c r="AR20" i="65" a="1"/>
  <c r="AR20" i="65" s="1"/>
  <c r="F19" i="65" a="1"/>
  <c r="F19" i="65" s="1"/>
  <c r="M14" i="65" a="1"/>
  <c r="M14" i="65" s="1"/>
  <c r="N20" i="65" a="1"/>
  <c r="N20" i="65" s="1"/>
  <c r="F14" i="65" a="1"/>
  <c r="F14" i="65" s="1"/>
  <c r="AP19" i="61" a="1"/>
  <c r="AP19" i="61" s="1"/>
  <c r="F14" i="61" a="1"/>
  <c r="F14" i="61" s="1"/>
  <c r="AN14" i="61" a="1"/>
  <c r="AN14" i="61" s="1"/>
  <c r="J16" i="61" a="1"/>
  <c r="J16" i="61" s="1"/>
  <c r="AD18" i="61" a="1"/>
  <c r="AD18" i="61" s="1"/>
  <c r="AQ10" i="61" a="1"/>
  <c r="AQ10" i="61" s="1"/>
  <c r="H20" i="61" a="1"/>
  <c r="H20" i="61" s="1"/>
  <c r="U20" i="61" a="1"/>
  <c r="U20" i="61" s="1"/>
  <c r="AR12" i="61" a="1"/>
  <c r="AR12" i="61" s="1"/>
  <c r="AB16" i="61" a="1"/>
  <c r="AB16" i="61" s="1"/>
  <c r="AL10" i="61" a="1"/>
  <c r="AL10" i="61" s="1"/>
  <c r="W17" i="61" a="1"/>
  <c r="W17" i="61" s="1"/>
  <c r="AS19" i="61" a="1"/>
  <c r="AS19" i="61" s="1"/>
  <c r="U15" i="61" a="1"/>
  <c r="U15" i="61" s="1"/>
  <c r="AL14" i="61" a="1"/>
  <c r="AL14" i="61" s="1"/>
  <c r="N20" i="61" a="1"/>
  <c r="N20" i="61" s="1"/>
  <c r="G20" i="61" a="1"/>
  <c r="G20" i="61" s="1"/>
  <c r="AS12" i="61" a="1"/>
  <c r="AS12" i="61" s="1"/>
  <c r="G15" i="61" a="1"/>
  <c r="G15" i="61" s="1"/>
  <c r="AA15" i="65" a="1"/>
  <c r="AA15" i="65" s="1"/>
  <c r="AC10" i="65" a="1"/>
  <c r="AC10" i="65" s="1"/>
  <c r="AD19" i="65" a="1"/>
  <c r="AD19" i="65" s="1"/>
  <c r="AC10" i="61" a="1"/>
  <c r="AC10" i="61" s="1"/>
  <c r="I15" i="61" a="1"/>
  <c r="I15" i="61" s="1"/>
  <c r="Z20" i="61" a="1"/>
  <c r="Z20" i="61" s="1"/>
  <c r="AA14" i="61" a="1"/>
  <c r="AA14" i="61" s="1"/>
  <c r="AA12" i="61" a="1"/>
  <c r="AA12" i="61" s="1"/>
  <c r="AA15" i="61" a="1"/>
  <c r="AA15" i="61" s="1"/>
  <c r="AS17" i="61" a="1"/>
  <c r="AS17" i="61" s="1"/>
  <c r="U19" i="61" a="1"/>
  <c r="U19" i="61" s="1"/>
  <c r="AS18" i="61" a="1"/>
  <c r="AS18" i="61" s="1"/>
  <c r="W14" i="61" a="1"/>
  <c r="W14" i="61" s="1"/>
  <c r="M20" i="61" a="1"/>
  <c r="M20" i="61" s="1"/>
  <c r="AJ19" i="61" a="1"/>
  <c r="AJ19" i="61" s="1"/>
  <c r="Y14" i="61" a="1"/>
  <c r="Y14" i="61" s="1"/>
  <c r="AL20" i="61" a="1"/>
  <c r="AL20" i="61" s="1"/>
  <c r="AD12" i="61" a="1"/>
  <c r="AD12" i="61" s="1"/>
  <c r="AP14" i="61" a="1"/>
  <c r="AP14" i="61" s="1"/>
  <c r="AI14" i="61" a="1"/>
  <c r="AI14" i="61" s="1"/>
  <c r="H14" i="61" a="1"/>
  <c r="H14" i="61" s="1"/>
  <c r="I10" i="61" a="1"/>
  <c r="I10" i="61" s="1"/>
  <c r="AD10" i="61" a="1"/>
  <c r="AD10" i="61" s="1"/>
  <c r="AS16" i="61" a="1"/>
  <c r="AS16" i="61" s="1"/>
  <c r="AC20" i="61" a="1"/>
  <c r="AC20" i="61" s="1"/>
  <c r="Z17" i="61" a="1"/>
  <c r="Z17" i="61" s="1"/>
  <c r="F12" i="61" a="1"/>
  <c r="F12" i="61" s="1"/>
  <c r="O19" i="61" a="1"/>
  <c r="O19" i="61" s="1"/>
  <c r="T12" i="61" a="1"/>
  <c r="T12" i="61" s="1"/>
  <c r="AC12" i="61" a="1"/>
  <c r="AC12" i="61" s="1"/>
  <c r="L20" i="61" a="1"/>
  <c r="L20" i="61" s="1"/>
  <c r="Z14" i="61" a="1"/>
  <c r="Z14" i="61" s="1"/>
  <c r="G10" i="61" a="1"/>
  <c r="G10" i="61" s="1"/>
  <c r="E19" i="61" a="1"/>
  <c r="E19" i="61" s="1"/>
  <c r="AM17" i="61" a="1"/>
  <c r="AM17" i="61" s="1"/>
  <c r="X12" i="61" a="1"/>
  <c r="X12" i="61" s="1"/>
  <c r="W16" i="61" a="1"/>
  <c r="W16" i="61" s="1"/>
  <c r="O18" i="61" a="1"/>
  <c r="O18" i="61" s="1"/>
  <c r="T18" i="61" a="1"/>
  <c r="T18" i="61" s="1"/>
  <c r="O16" i="61" a="1"/>
  <c r="O16" i="61" s="1"/>
  <c r="AB10" i="61" a="1"/>
  <c r="AB10" i="61" s="1"/>
  <c r="AQ17" i="61" a="1"/>
  <c r="AQ17" i="61" s="1"/>
  <c r="AQ19" i="61" a="1"/>
  <c r="AQ19" i="61" s="1"/>
  <c r="AD14" i="61" a="1"/>
  <c r="AD14" i="61" s="1"/>
  <c r="AN19" i="61" a="1"/>
  <c r="AN19" i="61" s="1"/>
  <c r="AM12" i="61" a="1"/>
  <c r="AM12" i="61" s="1"/>
  <c r="AP16" i="65" a="1"/>
  <c r="AP16" i="65" s="1"/>
  <c r="AN18" i="65" a="1"/>
  <c r="AN18" i="65" s="1"/>
  <c r="Y20" i="61" a="1"/>
  <c r="Y20" i="61" s="1"/>
  <c r="AB12" i="61" a="1"/>
  <c r="AB12" i="61" s="1"/>
  <c r="H10" i="61" a="1"/>
  <c r="H10" i="61" s="1"/>
  <c r="E15" i="61" a="1"/>
  <c r="E15" i="61" s="1"/>
  <c r="W20" i="61" a="1"/>
  <c r="W20" i="61" s="1"/>
  <c r="AM20" i="61" a="1"/>
  <c r="AM20" i="61" s="1"/>
  <c r="AA20" i="61" a="1"/>
  <c r="AA20" i="61" s="1"/>
  <c r="AL17" i="61" a="1"/>
  <c r="AL17" i="61" s="1"/>
  <c r="AJ14" i="61" a="1"/>
  <c r="AJ14" i="61" s="1"/>
  <c r="AO14" i="61" a="1"/>
  <c r="AO14" i="61" s="1"/>
  <c r="I17" i="61" a="1"/>
  <c r="I17" i="61" s="1"/>
  <c r="AB15" i="61" a="1"/>
  <c r="AB15" i="61" s="1"/>
  <c r="I16" i="61" a="1"/>
  <c r="I16" i="61" s="1"/>
  <c r="W19" i="61" a="1"/>
  <c r="W19" i="61" s="1"/>
  <c r="F17" i="61" a="1"/>
  <c r="F17" i="61" s="1"/>
  <c r="H15" i="61" a="1"/>
  <c r="H15" i="61" s="1"/>
  <c r="T20" i="61" a="1"/>
  <c r="T20" i="61" s="1"/>
  <c r="T19" i="61" a="1"/>
  <c r="T19" i="61" s="1"/>
  <c r="L12" i="61" a="1"/>
  <c r="L12" i="61" s="1"/>
  <c r="AK19" i="61" a="1"/>
  <c r="AK19" i="61" s="1"/>
  <c r="AS10" i="61" a="1"/>
  <c r="AS10" i="61" s="1"/>
  <c r="AI17" i="61" a="1"/>
  <c r="AI17" i="61" s="1"/>
  <c r="E20" i="61" a="1"/>
  <c r="E20" i="61" s="1"/>
  <c r="M16" i="65" a="1"/>
  <c r="M16" i="65" s="1"/>
  <c r="T17" i="65" a="1"/>
  <c r="T17" i="65" s="1"/>
  <c r="I12" i="69" a="1"/>
  <c r="I12" i="69" s="1"/>
  <c r="K15" i="69" a="1"/>
  <c r="K15" i="69" s="1"/>
  <c r="K17" i="69" a="1"/>
  <c r="K17" i="69" s="1"/>
  <c r="AJ17" i="69" a="1"/>
  <c r="AJ17" i="69" s="1"/>
  <c r="AA15" i="69" a="1"/>
  <c r="AA15" i="69" s="1"/>
  <c r="L10" i="69" a="1"/>
  <c r="L10" i="69" s="1"/>
  <c r="AC16" i="69" a="1"/>
  <c r="AC16" i="69" s="1"/>
  <c r="AR12" i="69" a="1"/>
  <c r="AR12" i="69" s="1"/>
  <c r="N20" i="69" a="1"/>
  <c r="N20" i="69" s="1"/>
  <c r="F12" i="69" a="1"/>
  <c r="F12" i="69" s="1"/>
  <c r="AK17" i="69" a="1"/>
  <c r="AK17" i="69" s="1"/>
  <c r="W12" i="69" a="1"/>
  <c r="W12" i="69" s="1"/>
  <c r="AP19" i="69" a="1"/>
  <c r="AP19" i="69" s="1"/>
  <c r="Z20" i="69" a="1"/>
  <c r="Z20" i="69" s="1"/>
  <c r="Z14" i="69" a="1"/>
  <c r="Z14" i="69" s="1"/>
  <c r="AS19" i="69" a="1"/>
  <c r="AS19" i="69" s="1"/>
  <c r="Y19" i="69" a="1"/>
  <c r="Y19" i="69" s="1"/>
  <c r="H16" i="69" a="1"/>
  <c r="H16" i="69" s="1"/>
  <c r="K20" i="69" a="1"/>
  <c r="K20" i="69" s="1"/>
  <c r="L12" i="69" a="1"/>
  <c r="L12" i="69" s="1"/>
  <c r="V17" i="69" a="1"/>
  <c r="V17" i="69" s="1"/>
  <c r="K12" i="69" a="1"/>
  <c r="K12" i="69" s="1"/>
  <c r="M15" i="69" a="1"/>
  <c r="M15" i="69" s="1"/>
  <c r="Y17" i="69" a="1"/>
  <c r="Y17" i="69" s="1"/>
  <c r="O10" i="69" a="1"/>
  <c r="O10" i="69" s="1"/>
  <c r="I17" i="69" a="1"/>
  <c r="I17" i="69" s="1"/>
  <c r="J14" i="69" a="1"/>
  <c r="J14" i="69" s="1"/>
  <c r="AK16" i="69" a="1"/>
  <c r="AK16" i="69" s="1"/>
  <c r="U18" i="69" a="1"/>
  <c r="U18" i="69" s="1"/>
  <c r="E16" i="69" a="1"/>
  <c r="E16" i="69" s="1"/>
  <c r="W15" i="69" a="1"/>
  <c r="W15" i="69" s="1"/>
  <c r="AK10" i="69" a="1"/>
  <c r="AK10" i="69" s="1"/>
  <c r="AK19" i="69" a="1"/>
  <c r="AK19" i="69" s="1"/>
  <c r="W19" i="69" a="1"/>
  <c r="W19" i="69" s="1"/>
  <c r="Y16" i="69" a="1"/>
  <c r="Y16" i="69" s="1"/>
  <c r="AN10" i="69" a="1"/>
  <c r="AN10" i="69" s="1"/>
  <c r="Y20" i="69" a="1"/>
  <c r="Y20" i="69" s="1"/>
  <c r="AM20" i="69" a="1"/>
  <c r="AM20" i="69" s="1"/>
  <c r="AQ15" i="69" a="1"/>
  <c r="AQ15" i="69" s="1"/>
  <c r="AM16" i="69" a="1"/>
  <c r="AM16" i="69" s="1"/>
  <c r="AS12" i="69" a="1"/>
  <c r="AS12" i="69" s="1"/>
  <c r="AN19" i="69" a="1"/>
  <c r="AN19" i="69" s="1"/>
  <c r="Z19" i="69" a="1"/>
  <c r="Z19" i="69" s="1"/>
  <c r="AO20" i="69" a="1"/>
  <c r="AO20" i="69" s="1"/>
  <c r="L18" i="69" a="1"/>
  <c r="L18" i="69" s="1"/>
  <c r="AS10" i="69" a="1"/>
  <c r="AS10" i="69" s="1"/>
  <c r="AB10" i="69" a="1"/>
  <c r="AB10" i="69" s="1"/>
  <c r="Y14" i="69" a="1"/>
  <c r="Y14" i="69" s="1"/>
  <c r="U10" i="69" a="1"/>
  <c r="U10" i="69" s="1"/>
  <c r="AP14" i="69" a="1"/>
  <c r="AP14" i="69" s="1"/>
  <c r="AP12" i="69" a="1"/>
  <c r="AP12" i="69" s="1"/>
  <c r="AQ17" i="69" a="1"/>
  <c r="AQ17" i="69" s="1"/>
  <c r="AP15" i="69" a="1"/>
  <c r="AP15" i="69" s="1"/>
  <c r="AR20" i="69" a="1"/>
  <c r="AR20" i="69" s="1"/>
  <c r="AC18" i="69" a="1"/>
  <c r="AC18" i="69" s="1"/>
  <c r="AD18" i="69" a="1"/>
  <c r="AD18" i="69" s="1"/>
  <c r="X16" i="69" a="1"/>
  <c r="X16" i="69" s="1"/>
  <c r="N14" i="69" a="1"/>
  <c r="N14" i="69" s="1"/>
  <c r="W20" i="69" a="1"/>
  <c r="W20" i="69" s="1"/>
  <c r="X15" i="69" a="1"/>
  <c r="X15" i="69" s="1"/>
  <c r="AB14" i="69" a="1"/>
  <c r="AB14" i="69" s="1"/>
  <c r="V15" i="69" a="1"/>
  <c r="V15" i="69" s="1"/>
  <c r="AP10" i="69" a="1"/>
  <c r="AP10" i="69" s="1"/>
  <c r="I10" i="69" a="1"/>
  <c r="I10" i="69" s="1"/>
  <c r="N10" i="69" a="1"/>
  <c r="N10" i="69" s="1"/>
  <c r="F19" i="69" a="1"/>
  <c r="F19" i="69" s="1"/>
  <c r="U17" i="69" a="1"/>
  <c r="U17" i="69" s="1"/>
  <c r="M19" i="69" a="1"/>
  <c r="M19" i="69" s="1"/>
  <c r="J12" i="69" a="1"/>
  <c r="J12" i="69" s="1"/>
  <c r="AM12" i="69" a="1"/>
  <c r="AM12" i="69" s="1"/>
  <c r="T16" i="69" a="1"/>
  <c r="T16" i="69" s="1"/>
  <c r="AD12" i="69" a="1"/>
  <c r="AD12" i="69" s="1"/>
  <c r="X19" i="69" a="1"/>
  <c r="X19" i="69" s="1"/>
  <c r="W17" i="69" a="1"/>
  <c r="W17" i="69" s="1"/>
  <c r="X18" i="69" a="1"/>
  <c r="X18" i="69" s="1"/>
  <c r="G19" i="69" a="1"/>
  <c r="G19" i="69" s="1"/>
  <c r="L16" i="69" a="1"/>
  <c r="L16" i="69" s="1"/>
  <c r="AR17" i="69" a="1"/>
  <c r="AR17" i="69" s="1"/>
  <c r="AO12" i="69" a="1"/>
  <c r="AO12" i="69" s="1"/>
  <c r="AI14" i="69" a="1"/>
  <c r="AI14" i="69" s="1"/>
  <c r="N16" i="69" a="1"/>
  <c r="N16" i="69" s="1"/>
  <c r="AO18" i="69" a="1"/>
  <c r="AO18" i="69" s="1"/>
  <c r="AA20" i="69" a="1"/>
  <c r="AA20" i="69" s="1"/>
  <c r="AB17" i="69" a="1"/>
  <c r="AB17" i="69" s="1"/>
  <c r="AQ14" i="69" a="1"/>
  <c r="AQ14" i="69" s="1"/>
  <c r="AK18" i="69" a="1"/>
  <c r="AK18" i="69" s="1"/>
  <c r="X12" i="69" a="1"/>
  <c r="X12" i="69" s="1"/>
  <c r="AO19" i="69" a="1"/>
  <c r="AO19" i="69" s="1"/>
  <c r="J17" i="69" a="1"/>
  <c r="J17" i="69" s="1"/>
  <c r="AB19" i="69" a="1"/>
  <c r="AB19" i="69" s="1"/>
  <c r="AQ19" i="69" a="1"/>
  <c r="AQ19" i="69" s="1"/>
  <c r="AC10" i="69" a="1"/>
  <c r="AC10" i="69" s="1"/>
  <c r="M16" i="69" a="1"/>
  <c r="M16" i="69" s="1"/>
  <c r="O15" i="69" a="1"/>
  <c r="O15" i="69" s="1"/>
  <c r="V14" i="69" a="1"/>
  <c r="V14" i="69" s="1"/>
  <c r="AS16" i="69" a="1"/>
  <c r="AS16" i="69" s="1"/>
  <c r="AQ10" i="69" a="1"/>
  <c r="AQ10" i="69" s="1"/>
  <c r="AL15" i="69" a="1"/>
  <c r="AL15" i="69" s="1"/>
  <c r="I20" i="69" a="1"/>
  <c r="I20" i="69" s="1"/>
  <c r="AD15" i="69" a="1"/>
  <c r="AD15" i="69" s="1"/>
  <c r="AO14" i="69" a="1"/>
  <c r="AO14" i="69" s="1"/>
  <c r="X17" i="69" a="1"/>
  <c r="X17" i="69" s="1"/>
  <c r="T14" i="69" a="1"/>
  <c r="T14" i="69" s="1"/>
  <c r="E12" i="69" a="1"/>
  <c r="E12" i="69" s="1"/>
  <c r="W14" i="69" a="1"/>
  <c r="W14" i="69" s="1"/>
  <c r="O18" i="69" a="1"/>
  <c r="O18" i="69" s="1"/>
  <c r="AJ20" i="69" a="1"/>
  <c r="AJ20" i="69" s="1"/>
  <c r="J20" i="69" a="1"/>
  <c r="J20" i="69" s="1"/>
  <c r="H20" i="69" a="1"/>
  <c r="H20" i="69" s="1"/>
  <c r="AI16" i="69" a="1"/>
  <c r="AI16" i="69" s="1"/>
  <c r="Y12" i="69" a="1"/>
  <c r="Y12" i="69" s="1"/>
  <c r="T15" i="69" a="1"/>
  <c r="T15" i="69" s="1"/>
  <c r="AD17" i="69" a="1"/>
  <c r="AD17" i="69" s="1"/>
  <c r="AQ12" i="69" a="1"/>
  <c r="AQ12" i="69" s="1"/>
  <c r="AS18" i="69" a="1"/>
  <c r="AS18" i="69" s="1"/>
  <c r="G15" i="69" a="1"/>
  <c r="G15" i="69" s="1"/>
  <c r="AQ16" i="69" a="1"/>
  <c r="AQ16" i="69" s="1"/>
  <c r="E15" i="69" a="1"/>
  <c r="E15" i="69" s="1"/>
  <c r="U12" i="69" a="1"/>
  <c r="U12" i="69" s="1"/>
  <c r="AR10" i="69" a="1"/>
  <c r="AR10" i="69" s="1"/>
  <c r="AC15" i="69" a="1"/>
  <c r="AC15" i="69" s="1"/>
  <c r="AD19" i="69" a="1"/>
  <c r="AD19" i="69" s="1"/>
  <c r="AJ15" i="69" a="1"/>
  <c r="AJ15" i="69" s="1"/>
  <c r="H15" i="69" a="1"/>
  <c r="H15" i="69" s="1"/>
  <c r="F20" i="69" a="1"/>
  <c r="F20" i="69" s="1"/>
  <c r="AI12" i="69" a="1"/>
  <c r="AI12" i="69" s="1"/>
  <c r="I19" i="69" a="1"/>
  <c r="I19" i="69" s="1"/>
  <c r="O12" i="69" a="1"/>
  <c r="O12" i="69" s="1"/>
  <c r="AA12" i="69" a="1"/>
  <c r="AA12" i="69" s="1"/>
  <c r="L15" i="69" a="1"/>
  <c r="L15" i="69" s="1"/>
  <c r="N17" i="69" a="1"/>
  <c r="N17" i="69" s="1"/>
  <c r="E18" i="69" a="1"/>
  <c r="E18" i="69" s="1"/>
  <c r="Y18" i="69" a="1"/>
  <c r="Y18" i="69" s="1"/>
  <c r="AR16" i="69" a="1"/>
  <c r="AR16" i="69" s="1"/>
  <c r="AC12" i="69" a="1"/>
  <c r="AC12" i="69" s="1"/>
  <c r="V20" i="69" a="1"/>
  <c r="V20" i="69" s="1"/>
  <c r="AN17" i="69" a="1"/>
  <c r="AN17" i="69" s="1"/>
  <c r="AQ20" i="69" a="1"/>
  <c r="AQ20" i="69" s="1"/>
  <c r="Z18" i="69" a="1"/>
  <c r="Z18" i="69" s="1"/>
  <c r="AK15" i="69" a="1"/>
  <c r="AK15" i="69" s="1"/>
  <c r="U20" i="69" a="1"/>
  <c r="U20" i="69" s="1"/>
  <c r="AD10" i="69" a="1"/>
  <c r="AD10" i="69" s="1"/>
  <c r="X10" i="69" a="1"/>
  <c r="X10" i="69" s="1"/>
  <c r="AB20" i="69" a="1"/>
  <c r="AB20" i="69" s="1"/>
  <c r="AL16" i="69" a="1"/>
  <c r="AL16" i="69" s="1"/>
  <c r="AI19" i="69" a="1"/>
  <c r="AI19" i="69" s="1"/>
  <c r="AL19" i="69" a="1"/>
  <c r="AL19" i="69" s="1"/>
  <c r="T12" i="69" a="1"/>
  <c r="T12" i="69" s="1"/>
  <c r="X20" i="69" a="1"/>
  <c r="X20" i="69" s="1"/>
  <c r="U19" i="69" a="1"/>
  <c r="U19" i="69" s="1"/>
  <c r="L14" i="69" a="1"/>
  <c r="L14" i="69" s="1"/>
  <c r="AN16" i="69" a="1"/>
  <c r="AN16" i="69" s="1"/>
  <c r="AO17" i="69" a="1"/>
  <c r="AO17" i="69" s="1"/>
  <c r="G14" i="69" a="1"/>
  <c r="G14" i="69" s="1"/>
  <c r="AL14" i="69" a="1"/>
  <c r="AL14" i="69" s="1"/>
  <c r="K10" i="69" a="1"/>
  <c r="K10" i="69" s="1"/>
  <c r="AA10" i="69" a="1"/>
  <c r="AA10" i="69" s="1"/>
  <c r="J16" i="69" a="1"/>
  <c r="J16" i="69" s="1"/>
  <c r="AB12" i="69" a="1"/>
  <c r="AB12" i="69" s="1"/>
  <c r="W16" i="69" a="1"/>
  <c r="W16" i="69" s="1"/>
  <c r="I15" i="69" a="1"/>
  <c r="I15" i="69" s="1"/>
  <c r="F15" i="69" a="1"/>
  <c r="F15" i="69" s="1"/>
  <c r="L20" i="69" a="1"/>
  <c r="L20" i="69" s="1"/>
  <c r="AM19" i="69" a="1"/>
  <c r="AM19" i="69" s="1"/>
  <c r="G10" i="69" a="1"/>
  <c r="G10" i="69" s="1"/>
  <c r="AN20" i="69" a="1"/>
  <c r="AN20" i="69" s="1"/>
  <c r="Y10" i="69" a="1"/>
  <c r="Y10" i="69" s="1"/>
  <c r="AP16" i="69" a="1"/>
  <c r="AP16" i="69" s="1"/>
  <c r="AM10" i="69" a="1"/>
  <c r="AM10" i="69" s="1"/>
  <c r="K18" i="69" a="1"/>
  <c r="K18" i="69" s="1"/>
  <c r="K19" i="69" a="1"/>
  <c r="K19" i="69" s="1"/>
  <c r="L19" i="69" a="1"/>
  <c r="L19" i="69" s="1"/>
  <c r="M12" i="69" a="1"/>
  <c r="M12" i="69" s="1"/>
  <c r="M10" i="69" a="1"/>
  <c r="M10" i="69" s="1"/>
  <c r="H18" i="69" a="1"/>
  <c r="H18" i="69" s="1"/>
  <c r="AB15" i="69" a="1"/>
  <c r="AB15" i="69" s="1"/>
  <c r="U14" i="69" a="1"/>
  <c r="U14" i="69" s="1"/>
  <c r="AA14" i="69" a="1"/>
  <c r="AA14" i="69" s="1"/>
  <c r="O14" i="69" a="1"/>
  <c r="O14" i="69" s="1"/>
  <c r="Z17" i="69" a="1"/>
  <c r="Z17" i="69" s="1"/>
  <c r="Z12" i="69" a="1"/>
  <c r="Z12" i="69" s="1"/>
  <c r="E14" i="69" a="1"/>
  <c r="E14" i="69" s="1"/>
  <c r="F17" i="69" a="1"/>
  <c r="F17" i="69" s="1"/>
  <c r="AD16" i="69" a="1"/>
  <c r="AD16" i="69" s="1"/>
  <c r="H14" i="69" a="1"/>
  <c r="H14" i="69" s="1"/>
  <c r="E19" i="69" a="1"/>
  <c r="E19" i="69" s="1"/>
  <c r="AN14" i="69" a="1"/>
  <c r="AN14" i="69" s="1"/>
  <c r="O16" i="69" a="1"/>
  <c r="O16" i="69" s="1"/>
  <c r="AS17" i="69" a="1"/>
  <c r="AS17" i="69" s="1"/>
  <c r="H10" i="69" a="1"/>
  <c r="H10" i="69" s="1"/>
  <c r="H19" i="69" a="1"/>
  <c r="H19" i="69" s="1"/>
  <c r="AO10" i="69" a="1"/>
  <c r="AO10" i="69" s="1"/>
  <c r="AP20" i="69" a="1"/>
  <c r="AP20" i="69" s="1"/>
  <c r="AR18" i="69" a="1"/>
  <c r="AR18" i="69" s="1"/>
  <c r="M17" i="69" a="1"/>
  <c r="M17" i="69" s="1"/>
  <c r="AJ10" i="69" a="1"/>
  <c r="AJ10" i="69" s="1"/>
  <c r="AL17" i="69" a="1"/>
  <c r="AL17" i="69" s="1"/>
  <c r="AS15" i="69" a="1"/>
  <c r="AS15" i="69" s="1"/>
  <c r="AJ12" i="69" a="1"/>
  <c r="AJ12" i="69" s="1"/>
  <c r="F16" i="69" a="1"/>
  <c r="F16" i="69" s="1"/>
  <c r="T20" i="69" a="1"/>
  <c r="T20" i="69" s="1"/>
  <c r="AJ18" i="69" a="1"/>
  <c r="AJ18" i="69" s="1"/>
  <c r="AI15" i="69" a="1"/>
  <c r="AI15" i="69" s="1"/>
  <c r="I16" i="69" a="1"/>
  <c r="I16" i="69" s="1"/>
  <c r="E17" i="69" a="1"/>
  <c r="E17" i="69" s="1"/>
  <c r="AJ16" i="69" a="1"/>
  <c r="AJ16" i="69" s="1"/>
  <c r="AA19" i="69" a="1"/>
  <c r="AA19" i="69" s="1"/>
  <c r="AN18" i="69" a="1"/>
  <c r="AN18" i="69" s="1"/>
  <c r="AL10" i="69" a="1"/>
  <c r="AL10" i="69" s="1"/>
  <c r="I18" i="69" a="1"/>
  <c r="I18" i="69" s="1"/>
  <c r="Z15" i="69" a="1"/>
  <c r="Z15" i="69" s="1"/>
  <c r="J10" i="69" a="1"/>
  <c r="J10" i="69" s="1"/>
  <c r="AM15" i="69" a="1"/>
  <c r="AM15" i="69" s="1"/>
  <c r="AL18" i="69" a="1"/>
  <c r="AL18" i="69" s="1"/>
  <c r="AJ19" i="69" a="1"/>
  <c r="AJ19" i="69" s="1"/>
  <c r="AI18" i="69" a="1"/>
  <c r="AI18" i="69" s="1"/>
  <c r="G18" i="69" a="1"/>
  <c r="G18" i="69" s="1"/>
  <c r="AR15" i="69" a="1"/>
  <c r="AR15" i="69" s="1"/>
  <c r="AI17" i="69" a="1"/>
  <c r="AI17" i="69" s="1"/>
  <c r="O19" i="69" a="1"/>
  <c r="O19" i="69" s="1"/>
  <c r="AO18" i="67" a="1"/>
  <c r="AO18" i="67" s="1"/>
  <c r="V10" i="67" a="1"/>
  <c r="V10" i="67" s="1"/>
  <c r="AR20" i="67" a="1"/>
  <c r="AR20" i="67" s="1"/>
  <c r="T12" i="67" a="1"/>
  <c r="T12" i="67" s="1"/>
  <c r="J20" i="67" a="1"/>
  <c r="J20" i="67" s="1"/>
  <c r="F17" i="67" a="1"/>
  <c r="F17" i="67" s="1"/>
  <c r="Y10" i="67" a="1"/>
  <c r="Y10" i="67" s="1"/>
  <c r="AJ18" i="67" a="1"/>
  <c r="AJ18" i="67" s="1"/>
  <c r="J12" i="67" a="1"/>
  <c r="J12" i="67" s="1"/>
  <c r="AC12" i="67" a="1"/>
  <c r="AC12" i="67" s="1"/>
  <c r="W19" i="67" a="1"/>
  <c r="W19" i="67" s="1"/>
  <c r="G19" i="67" a="1"/>
  <c r="G19" i="67" s="1"/>
  <c r="AD10" i="67" a="1"/>
  <c r="AD10" i="67" s="1"/>
  <c r="AP10" i="67" a="1"/>
  <c r="AP10" i="67" s="1"/>
  <c r="F19" i="67" a="1"/>
  <c r="F19" i="67" s="1"/>
  <c r="W15" i="67" a="1"/>
  <c r="W15" i="67" s="1"/>
  <c r="W18" i="67" a="1"/>
  <c r="W18" i="67" s="1"/>
  <c r="W10" i="67" a="1"/>
  <c r="W10" i="67" s="1"/>
  <c r="M19" i="67" a="1"/>
  <c r="M19" i="67" s="1"/>
  <c r="AI17" i="67" a="1"/>
  <c r="AI17" i="67" s="1"/>
  <c r="E19" i="67" a="1"/>
  <c r="E19" i="67" s="1"/>
  <c r="L20" i="67" a="1"/>
  <c r="L20" i="67" s="1"/>
  <c r="T18" i="67" a="1"/>
  <c r="T18" i="67" s="1"/>
  <c r="O16" i="67" a="1"/>
  <c r="O16" i="67" s="1"/>
  <c r="AA12" i="67" a="1"/>
  <c r="AA12" i="67" s="1"/>
  <c r="Z17" i="67" a="1"/>
  <c r="Z17" i="67" s="1"/>
  <c r="AK16" i="67" a="1"/>
  <c r="AK16" i="67" s="1"/>
  <c r="AM12" i="67" a="1"/>
  <c r="AM12" i="67" s="1"/>
  <c r="M15" i="67" a="1"/>
  <c r="M15" i="67" s="1"/>
  <c r="AB15" i="67" a="1"/>
  <c r="AB15" i="67" s="1"/>
  <c r="O10" i="67" a="1"/>
  <c r="O10" i="67" s="1"/>
  <c r="AA14" i="67" a="1"/>
  <c r="AA14" i="67" s="1"/>
  <c r="W12" i="67" a="1"/>
  <c r="W12" i="67" s="1"/>
  <c r="F16" i="67" a="1"/>
  <c r="F16" i="67" s="1"/>
  <c r="AM18" i="67" a="1"/>
  <c r="AM18" i="67" s="1"/>
  <c r="AM20" i="67" a="1"/>
  <c r="AM20" i="67" s="1"/>
  <c r="J14" i="67" a="1"/>
  <c r="J14" i="67" s="1"/>
  <c r="G20" i="67" a="1"/>
  <c r="G20" i="67" s="1"/>
  <c r="AP16" i="67" a="1"/>
  <c r="AP16" i="67" s="1"/>
  <c r="AL10" i="67" a="1"/>
  <c r="AL10" i="67" s="1"/>
  <c r="AR14" i="67" a="1"/>
  <c r="AR14" i="67" s="1"/>
  <c r="E15" i="67" a="1"/>
  <c r="E15" i="67" s="1"/>
  <c r="W14" i="67" a="1"/>
  <c r="W14" i="67" s="1"/>
  <c r="H15" i="67" a="1"/>
  <c r="H15" i="67" s="1"/>
  <c r="I20" i="67" a="1"/>
  <c r="I20" i="67" s="1"/>
  <c r="AP15" i="67" a="1"/>
  <c r="AP15" i="67" s="1"/>
  <c r="I17" i="67" a="1"/>
  <c r="I17" i="67" s="1"/>
  <c r="U10" i="67" a="1"/>
  <c r="U10" i="67" s="1"/>
  <c r="AK18" i="67" a="1"/>
  <c r="AK18" i="67" s="1"/>
  <c r="AK17" i="67" a="1"/>
  <c r="AK17" i="67" s="1"/>
  <c r="N14" i="67" a="1"/>
  <c r="N14" i="67" s="1"/>
  <c r="E18" i="67" a="1"/>
  <c r="E18" i="67" s="1"/>
  <c r="AC18" i="67" a="1"/>
  <c r="AC18" i="67" s="1"/>
  <c r="Y14" i="67" a="1"/>
  <c r="Y14" i="67" s="1"/>
  <c r="AO15" i="67" a="1"/>
  <c r="AO15" i="67" s="1"/>
  <c r="N17" i="67" a="1"/>
  <c r="N17" i="67" s="1"/>
  <c r="AQ12" i="67" a="1"/>
  <c r="AQ12" i="67" s="1"/>
  <c r="AA15" i="67" a="1"/>
  <c r="AA15" i="67" s="1"/>
  <c r="AB20" i="67" a="1"/>
  <c r="AB20" i="67" s="1"/>
  <c r="L14" i="67" a="1"/>
  <c r="L14" i="67" s="1"/>
  <c r="J16" i="67" a="1"/>
  <c r="J16" i="67" s="1"/>
  <c r="AO12" i="67" a="1"/>
  <c r="AO12" i="67" s="1"/>
  <c r="U18" i="67" a="1"/>
  <c r="U18" i="67" s="1"/>
  <c r="N20" i="67" a="1"/>
  <c r="N20" i="67" s="1"/>
  <c r="V16" i="67" a="1"/>
  <c r="V16" i="67" s="1"/>
  <c r="AQ17" i="67" a="1"/>
  <c r="AQ17" i="67" s="1"/>
  <c r="L19" i="67" a="1"/>
  <c r="L19" i="67" s="1"/>
  <c r="AM19" i="67" a="1"/>
  <c r="AM19" i="67" s="1"/>
  <c r="AI14" i="67" a="1"/>
  <c r="AI14" i="67" s="1"/>
  <c r="AP14" i="67" a="1"/>
  <c r="AP14" i="67" s="1"/>
  <c r="X12" i="67" a="1"/>
  <c r="X12" i="67" s="1"/>
  <c r="AM15" i="67" a="1"/>
  <c r="AM15" i="67" s="1"/>
  <c r="AI12" i="67" a="1"/>
  <c r="AI12" i="67" s="1"/>
  <c r="U16" i="67" a="1"/>
  <c r="U16" i="67" s="1"/>
  <c r="T19" i="67" a="1"/>
  <c r="T19" i="67" s="1"/>
  <c r="AB17" i="67" a="1"/>
  <c r="AB17" i="67" s="1"/>
  <c r="F20" i="67" a="1"/>
  <c r="F20" i="67" s="1"/>
  <c r="AO19" i="67" a="1"/>
  <c r="AO19" i="67" s="1"/>
  <c r="H14" i="67" a="1"/>
  <c r="H14" i="67" s="1"/>
  <c r="N16" i="67" a="1"/>
  <c r="N16" i="67" s="1"/>
  <c r="AS12" i="67" a="1"/>
  <c r="AS12" i="67" s="1"/>
  <c r="T14" i="67" a="1"/>
  <c r="T14" i="67" s="1"/>
  <c r="K19" i="67" a="1"/>
  <c r="K19" i="67" s="1"/>
  <c r="W16" i="67" a="1"/>
  <c r="W16" i="67" s="1"/>
  <c r="AK15" i="67" a="1"/>
  <c r="AK15" i="67" s="1"/>
  <c r="F14" i="67" a="1"/>
  <c r="F14" i="67" s="1"/>
  <c r="H16" i="67" a="1"/>
  <c r="H16" i="67" s="1"/>
  <c r="U14" i="67" a="1"/>
  <c r="U14" i="67" s="1"/>
  <c r="O12" i="67" a="1"/>
  <c r="O12" i="67" s="1"/>
  <c r="X17" i="67" a="1"/>
  <c r="X17" i="67" s="1"/>
  <c r="E14" i="67" a="1"/>
  <c r="E14" i="67" s="1"/>
  <c r="AS18" i="67" a="1"/>
  <c r="AS18" i="67" s="1"/>
  <c r="Y12" i="67" a="1"/>
  <c r="Y12" i="67" s="1"/>
  <c r="K18" i="67" a="1"/>
  <c r="K18" i="67" s="1"/>
  <c r="E12" i="67" a="1"/>
  <c r="E12" i="67" s="1"/>
  <c r="Z19" i="67" a="1"/>
  <c r="Z19" i="67" s="1"/>
  <c r="U20" i="67" a="1"/>
  <c r="U20" i="67" s="1"/>
  <c r="I10" i="67" a="1"/>
  <c r="I10" i="67" s="1"/>
  <c r="N12" i="67" a="1"/>
  <c r="N12" i="67" s="1"/>
  <c r="N15" i="67" a="1"/>
  <c r="N15" i="67" s="1"/>
  <c r="J10" i="67" a="1"/>
  <c r="J10" i="67" s="1"/>
  <c r="G16" i="67" a="1"/>
  <c r="G16" i="67" s="1"/>
  <c r="AM17" i="67" a="1"/>
  <c r="AM17" i="67" s="1"/>
  <c r="AI15" i="67" a="1"/>
  <c r="AI15" i="67" s="1"/>
  <c r="O17" i="67" a="1"/>
  <c r="O17" i="67" s="1"/>
  <c r="AI16" i="67" a="1"/>
  <c r="AI16" i="67" s="1"/>
  <c r="AL17" i="67" a="1"/>
  <c r="AL17" i="67" s="1"/>
  <c r="Y18" i="67" a="1"/>
  <c r="Y18" i="67" s="1"/>
  <c r="I12" i="67" a="1"/>
  <c r="I12" i="67" s="1"/>
  <c r="AA20" i="67" a="1"/>
  <c r="AA20" i="67" s="1"/>
  <c r="K15" i="67" a="1"/>
  <c r="K15" i="67" s="1"/>
  <c r="T16" i="67" a="1"/>
  <c r="T16" i="67" s="1"/>
  <c r="AS16" i="67" a="1"/>
  <c r="AS16" i="67" s="1"/>
  <c r="Z20" i="67" a="1"/>
  <c r="Z20" i="67" s="1"/>
  <c r="AQ14" i="67" a="1"/>
  <c r="AQ14" i="67" s="1"/>
  <c r="AS17" i="67" a="1"/>
  <c r="AS17" i="67" s="1"/>
  <c r="X19" i="67" a="1"/>
  <c r="X19" i="67" s="1"/>
  <c r="O14" i="67" a="1"/>
  <c r="O14" i="67" s="1"/>
  <c r="AC20" i="67" a="1"/>
  <c r="AC20" i="67" s="1"/>
  <c r="AQ16" i="67" a="1"/>
  <c r="AQ16" i="67" s="1"/>
  <c r="AN18" i="67" a="1"/>
  <c r="AN18" i="67" s="1"/>
  <c r="M14" i="67" a="1"/>
  <c r="M14" i="67" s="1"/>
  <c r="AL12" i="67" a="1"/>
  <c r="AL12" i="67" s="1"/>
  <c r="AP12" i="67" a="1"/>
  <c r="AP12" i="67" s="1"/>
  <c r="AO10" i="67" a="1"/>
  <c r="AO10" i="67" s="1"/>
  <c r="X16" i="67" a="1"/>
  <c r="X16" i="67" s="1"/>
  <c r="L18" i="67" a="1"/>
  <c r="L18" i="67" s="1"/>
  <c r="Z14" i="67" a="1"/>
  <c r="Z14" i="67" s="1"/>
  <c r="AK19" i="67" a="1"/>
  <c r="AK19" i="67" s="1"/>
  <c r="O19" i="67" a="1"/>
  <c r="O19" i="67" s="1"/>
  <c r="V19" i="67" a="1"/>
  <c r="V19" i="67" s="1"/>
  <c r="AL19" i="67" a="1"/>
  <c r="AL19" i="67" s="1"/>
  <c r="AS14" i="67" a="1"/>
  <c r="AS14" i="67" s="1"/>
  <c r="AB16" i="67" a="1"/>
  <c r="AB16" i="67" s="1"/>
  <c r="L15" i="67" a="1"/>
  <c r="L15" i="67" s="1"/>
  <c r="AC16" i="67" a="1"/>
  <c r="AC16" i="67" s="1"/>
  <c r="O18" i="67" a="1"/>
  <c r="O18" i="67" s="1"/>
  <c r="U17" i="67" a="1"/>
  <c r="U17" i="67" s="1"/>
  <c r="K12" i="67" a="1"/>
  <c r="K12" i="67" s="1"/>
  <c r="M17" i="67" a="1"/>
  <c r="M17" i="67" s="1"/>
  <c r="AJ10" i="67" a="1"/>
  <c r="AJ10" i="67" s="1"/>
  <c r="AS19" i="67" a="1"/>
  <c r="AS19" i="67" s="1"/>
  <c r="O15" i="67" a="1"/>
  <c r="O15" i="67" s="1"/>
  <c r="U15" i="67" a="1"/>
  <c r="U15" i="67" s="1"/>
  <c r="AC14" i="67" a="1"/>
  <c r="AC14" i="67" s="1"/>
  <c r="AD17" i="67" a="1"/>
  <c r="AD17" i="67" s="1"/>
  <c r="T17" i="67" a="1"/>
  <c r="T17" i="67" s="1"/>
  <c r="AI18" i="67" a="1"/>
  <c r="AI18" i="67" s="1"/>
  <c r="AR15" i="67" a="1"/>
  <c r="AR15" i="67" s="1"/>
  <c r="L10" i="67" a="1"/>
  <c r="L10" i="67" s="1"/>
  <c r="F15" i="67" a="1"/>
  <c r="F15" i="67" s="1"/>
  <c r="H10" i="67" a="1"/>
  <c r="H10" i="67" s="1"/>
  <c r="N18" i="67" a="1"/>
  <c r="N18" i="67" s="1"/>
  <c r="AQ10" i="67" a="1"/>
  <c r="AQ10" i="67" s="1"/>
  <c r="AR17" i="67" a="1"/>
  <c r="AR17" i="67" s="1"/>
  <c r="AO20" i="67" a="1"/>
  <c r="AO20" i="67" s="1"/>
  <c r="AM10" i="67" a="1"/>
  <c r="AM10" i="67" s="1"/>
  <c r="J17" i="67" a="1"/>
  <c r="J17" i="67" s="1"/>
  <c r="AD16" i="67" a="1"/>
  <c r="AD16" i="67" s="1"/>
  <c r="AQ15" i="67" a="1"/>
  <c r="AQ15" i="67" s="1"/>
  <c r="I15" i="67" a="1"/>
  <c r="I15" i="67" s="1"/>
  <c r="H12" i="67" a="1"/>
  <c r="H12" i="67" s="1"/>
  <c r="AJ19" i="67" a="1"/>
  <c r="AJ19" i="6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<sst xmlns="http://schemas.openxmlformats.org/spreadsheetml/2006/main" count="6711" uniqueCount="1636">
  <si>
    <t>Residential Electric Resistance Furnaces</t>
  </si>
  <si>
    <t>Residential Electric Resistance Unit Heaters</t>
  </si>
  <si>
    <t>Residential Air-Source Heat Pumps</t>
  </si>
  <si>
    <t>Cost Factor</t>
  </si>
  <si>
    <t>Average Price</t>
  </si>
  <si>
    <t>Gas dryer</t>
  </si>
  <si>
    <t>Labor</t>
  </si>
  <si>
    <t>Materials</t>
  </si>
  <si>
    <t>Appliance removal and disposal</t>
  </si>
  <si>
    <t>New</t>
  </si>
  <si>
    <t>Has Existing</t>
  </si>
  <si>
    <t>https://www.angi.com/articles/how-much-should-it-cost-hook-gas-dryer.htm</t>
  </si>
  <si>
    <t>Link</t>
  </si>
  <si>
    <t>Assumptions</t>
  </si>
  <si>
    <t>New gas line installation/Warranty</t>
  </si>
  <si>
    <t>State</t>
  </si>
  <si>
    <t>Census Division Number</t>
  </si>
  <si>
    <t>Census Division Name</t>
  </si>
  <si>
    <t>Alabama</t>
  </si>
  <si>
    <t>South</t>
  </si>
  <si>
    <t>East South Central</t>
  </si>
  <si>
    <t>Alaska</t>
  </si>
  <si>
    <t>West</t>
  </si>
  <si>
    <t>Pacific</t>
  </si>
  <si>
    <t>Arizona</t>
  </si>
  <si>
    <t>Mountain</t>
  </si>
  <si>
    <t>Arkansas</t>
  </si>
  <si>
    <t>West South Central</t>
  </si>
  <si>
    <t>California</t>
  </si>
  <si>
    <t>Colorado</t>
  </si>
  <si>
    <t>Connecticut</t>
  </si>
  <si>
    <t>East</t>
  </si>
  <si>
    <t>New England</t>
  </si>
  <si>
    <t>Delaware</t>
  </si>
  <si>
    <t>South Atlantic</t>
  </si>
  <si>
    <t>Florida</t>
  </si>
  <si>
    <t>Georgia</t>
  </si>
  <si>
    <t>Hawaii</t>
  </si>
  <si>
    <t>Idaho</t>
  </si>
  <si>
    <t>Illinois</t>
  </si>
  <si>
    <t>Midwest</t>
  </si>
  <si>
    <t>East North Central</t>
  </si>
  <si>
    <t>Indiana</t>
  </si>
  <si>
    <t>Iowa</t>
  </si>
  <si>
    <t>West North Central</t>
  </si>
  <si>
    <t>Kansas</t>
  </si>
  <si>
    <t>Kentucky</t>
  </si>
  <si>
    <t>Louisiana</t>
  </si>
  <si>
    <t>Maine</t>
  </si>
  <si>
    <t>Maryland</t>
  </si>
  <si>
    <t>Massachusetts</t>
  </si>
  <si>
    <t>Michigan</t>
  </si>
  <si>
    <t>Minnesota</t>
  </si>
  <si>
    <t>Mississippi</t>
  </si>
  <si>
    <t>Missouri</t>
  </si>
  <si>
    <t>Montana</t>
  </si>
  <si>
    <t>Nebraska</t>
  </si>
  <si>
    <t>Nevada</t>
  </si>
  <si>
    <t>New Hampshire</t>
  </si>
  <si>
    <t>New Jersey</t>
  </si>
  <si>
    <t>Middle Atlantic</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</si>
  <si>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</si>
  <si>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</si>
  <si>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</si>
  <si>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</si>
  <si>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</si>
  <si>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</si>
  <si>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</si>
  <si>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</si>
  <si>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</si>
  <si>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</si>
  <si>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</si>
  <si>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</si>
  <si>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</si>
  <si>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</si>
  <si>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</si>
  <si>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</si>
  <si>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</si>
  <si>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</si>
  <si>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</si>
  <si>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</si>
  <si>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Region</t>
  </si>
  <si>
    <t>Mini-Split Heat Pump</t>
  </si>
  <si>
    <t>Ground-Source Heat Pump</t>
  </si>
  <si>
    <t>Material</t>
  </si>
  <si>
    <t>https://www.avalara.com/us/en/learn/whitepapers/service-taxability-by-state.html</t>
  </si>
  <si>
    <t>Propane</t>
  </si>
  <si>
    <t>Residential Wood Stove</t>
  </si>
  <si>
    <t>Table HC7.1 Air conditioning in U.S. homes, by housing unit type, 2020 (Final data release date: March 2023)</t>
  </si>
  <si>
    <t>https://www.eia.gov/consumption/residential/data/2020/hc/pdf/HC%207.1.pdf</t>
  </si>
  <si>
    <t>Table HC7.6 Air conditioning in U.S. homes, by climate region, 2020 (Final data release date: March 2023)</t>
  </si>
  <si>
    <t>https://www.eia.gov/consumption/residential/data/2020/hc/pdf/HC%207.6.pdf</t>
  </si>
  <si>
    <t>Table HC7.9 Air conditioning in U.S. homes, by home size, 2020 (Data release date: March 2023)</t>
  </si>
  <si>
    <t>https://www.eia.gov/consumption/residential/data/2020/hc/pdf/HC%207.9.pdf</t>
  </si>
  <si>
    <t>EIA - Technology Forecast Updates –
Residential and Commercial Building
Technologies – Reference Case (APPENDIX A) 2023</t>
  </si>
  <si>
    <t>https://www.eia.gov/analysis/studies/buildings/equipcosts/pdf/appendix-a.pdf</t>
  </si>
  <si>
    <t>Base Assumptions</t>
  </si>
  <si>
    <t>Base Units</t>
  </si>
  <si>
    <t>Climate Factor</t>
  </si>
  <si>
    <t>Review of Industry Practices</t>
  </si>
  <si>
    <t>Adjustments for Zoning</t>
  </si>
  <si>
    <t>Description</t>
  </si>
  <si>
    <t>Details</t>
  </si>
  <si>
    <t>Sources</t>
  </si>
  <si>
    <t>Ductwork</t>
  </si>
  <si>
    <t>Gas Line Installation</t>
  </si>
  <si>
    <t>Energy Efficient Home Improvement Credit</t>
  </si>
  <si>
    <t>IRS</t>
  </si>
  <si>
    <t>Residential Clean Energy Credit</t>
  </si>
  <si>
    <t>Other Eligible Systems:</t>
  </si>
  <si>
    <t>Solar water heaters.</t>
  </si>
  <si>
    <t>Claiming the Credits</t>
  </si>
  <si>
    <t>Additional Considerations</t>
  </si>
  <si>
    <t>1. Adoption of Appliance Efficiency Standards</t>
  </si>
  <si>
    <t>Climate Policy Dashboard</t>
  </si>
  <si>
    <t>2. Incentives for Electrification</t>
  </si>
  <si>
    <t>Indiana.gov</t>
  </si>
  <si>
    <t>3. Restrictions on Fossil-Fueled Appliances</t>
  </si>
  <si>
    <t>4. Federal Support and Coordination</t>
  </si>
  <si>
    <t>5. Addressing Grid Challenges</t>
  </si>
  <si>
    <t>Barron's</t>
  </si>
  <si>
    <t>State Trends</t>
  </si>
  <si>
    <t>Electrical Line 240V</t>
  </si>
  <si>
    <t>Duct Closure</t>
  </si>
  <si>
    <t>Venting</t>
  </si>
  <si>
    <t>Piping and Hydronic System</t>
  </si>
  <si>
    <t>Horizontal Loop System</t>
  </si>
  <si>
    <t>Cost Range</t>
  </si>
  <si>
    <t>Total</t>
  </si>
  <si>
    <t>https://www.handoff.ai/construction-costs/install-ductwork</t>
  </si>
  <si>
    <t>Location Quotient</t>
  </si>
  <si>
    <t>Hourly median wage</t>
  </si>
  <si>
    <t>Hourly mean wage</t>
  </si>
  <si>
    <t>District of Columbia</t>
  </si>
  <si>
    <t>https://www.servicetitan.com/tools/general-parts-markup-calculator</t>
  </si>
  <si>
    <t>https://www.angi.com/articles/general-contractor-markup.htm</t>
  </si>
  <si>
    <t>https://www.wolterskluwer.com/en/expert-insights/understanding-sales-tax-rules-for-the-construction-industry#:~:text=In%20the%20majority%20of%20states,at%20the%20time%20of%20purchase.</t>
  </si>
  <si>
    <t>Assume No Taxes on Markup</t>
  </si>
  <si>
    <t>Markup %</t>
  </si>
  <si>
    <t>Electrical Line 120V</t>
  </si>
  <si>
    <t>Material Costs:</t>
  </si>
  <si>
    <t>Installation in an existing structure for a new or replacement HVAC system.</t>
  </si>
  <si>
    <t>https://homeguide.com/costs/electric-furnace-cost</t>
  </si>
  <si>
    <t>HVAC</t>
  </si>
  <si>
    <t>Sealing off unused or modified ducts as part of a retrofit or system change.</t>
  </si>
  <si>
    <t>Sources:</t>
  </si>
  <si>
    <t xml:space="preserve">           -</t>
  </si>
  <si>
    <t>Employment percent relative standard error(3)</t>
  </si>
  <si>
    <t>Employment</t>
  </si>
  <si>
    <r>
      <t>Costs</t>
    </r>
    <r>
      <rPr>
        <sz val="12"/>
        <color theme="1"/>
        <rFont val="Times New Roman"/>
        <family val="1"/>
      </rPr>
      <t>:</t>
    </r>
  </si>
  <si>
    <t>Technology</t>
  </si>
  <si>
    <t>National Average</t>
  </si>
  <si>
    <t>Conversion Kit</t>
  </si>
  <si>
    <t>https://www.gohammond.com/departments/inspections-department/building-division/</t>
  </si>
  <si>
    <t>Permit  - Gas</t>
  </si>
  <si>
    <t>Permit  - Plumbing</t>
  </si>
  <si>
    <t>Permit  - Electrical</t>
  </si>
  <si>
    <t>Permit  - HVAC</t>
  </si>
  <si>
    <t>Capping Gas Line</t>
  </si>
  <si>
    <t>National Wage Index</t>
  </si>
  <si>
    <t>range from $30 to $50</t>
  </si>
  <si>
    <t>https://products.geappliances.com/appliance/gea-support-search-content?contentId=21998</t>
  </si>
  <si>
    <t>Permit</t>
  </si>
  <si>
    <t>Vent Closure</t>
  </si>
  <si>
    <t xml:space="preserve">Removal </t>
  </si>
  <si>
    <t>Removal - Electric</t>
  </si>
  <si>
    <t>Removal - Oil</t>
  </si>
  <si>
    <t>Removal - Gas</t>
  </si>
  <si>
    <t>Removal - Propane</t>
  </si>
  <si>
    <t>Source: U.S. Bureau of Labor Statistics</t>
  </si>
  <si>
    <r>
      <t>Ground-Source Heat Pumps (GSHPs):</t>
    </r>
    <r>
      <rPr>
        <sz val="11"/>
        <color theme="1"/>
        <rFont val="Times New Roman"/>
        <family val="1"/>
      </rPr>
      <t xml:space="preserve"> Qualify under this credit. </t>
    </r>
  </si>
  <si>
    <r>
      <t>Sources</t>
    </r>
    <r>
      <rPr>
        <sz val="11"/>
        <color theme="1"/>
        <rFont val="Times New Roman"/>
        <family val="1"/>
      </rPr>
      <t>:</t>
    </r>
  </si>
  <si>
    <t>Solar</t>
  </si>
  <si>
    <t>Permit - Gas</t>
  </si>
  <si>
    <t>Permit - HVAC</t>
  </si>
  <si>
    <t>Capping Oil</t>
  </si>
  <si>
    <t>Methodology</t>
  </si>
  <si>
    <t xml:space="preserve">Residential Fuel Switching Costs </t>
  </si>
  <si>
    <t>Mini-Split Heat Pump - Demo</t>
  </si>
  <si>
    <t>Ground-Source Heat Pump - Demo</t>
  </si>
  <si>
    <t>Demo</t>
  </si>
  <si>
    <t>Mini-Split Heat Pump - Permit</t>
  </si>
  <si>
    <t>Ground-Source Heat Pump - Permit</t>
  </si>
  <si>
    <t>Gas-Fired Furnaces - Demo</t>
  </si>
  <si>
    <t>Oil-Fired Furnaces - Demo</t>
  </si>
  <si>
    <t>Gas-Fired Boilers - Demo</t>
  </si>
  <si>
    <t>Oil-Fired Boilers - Demo</t>
  </si>
  <si>
    <t>Electric Resistance Furnaces - Demo</t>
  </si>
  <si>
    <t>Electric Resistance Unit Heaters - Demo</t>
  </si>
  <si>
    <t>Air-Source Heat Pumps - Demo</t>
  </si>
  <si>
    <t>Wood Stove - Demo</t>
  </si>
  <si>
    <t>Gas-Fired Furnaces - Permit</t>
  </si>
  <si>
    <t>Oil-Fired Furnaces - Permit</t>
  </si>
  <si>
    <t>Gas-Fired Boilers - Permit</t>
  </si>
  <si>
    <t>Oil-Fired Boilers - Permit</t>
  </si>
  <si>
    <t>Electric Resistance Furnaces - Permit</t>
  </si>
  <si>
    <t>Electric Resistance Unit Heaters - Permit</t>
  </si>
  <si>
    <t>Air-Source Heat Pumps - Permit</t>
  </si>
  <si>
    <t>Wood Stove - Permit</t>
  </si>
  <si>
    <t>National Average / Year</t>
  </si>
  <si>
    <t>Markup Notes</t>
  </si>
  <si>
    <t>Gas Dryer Notes</t>
  </si>
  <si>
    <t>Main heating equipment age</t>
  </si>
  <si>
    <t/>
  </si>
  <si>
    <t>Less than 2 years old</t>
  </si>
  <si>
    <t>2 to 4 years old</t>
  </si>
  <si>
    <t>5 to 9 years old</t>
  </si>
  <si>
    <t>10 to 14 years old</t>
  </si>
  <si>
    <t>15 to 19 years old</t>
  </si>
  <si>
    <t>20 or more years old</t>
  </si>
  <si>
    <t>Does not use heating equipment</t>
  </si>
  <si>
    <t>Percent Older than 20 years</t>
  </si>
  <si>
    <t>Percent Newer than 20 years</t>
  </si>
  <si>
    <t>https://www.energystar.gov/partner-resources/products_partner_resources/brand-owner/unit-shipment-data/archives</t>
  </si>
  <si>
    <t>Year</t>
  </si>
  <si>
    <t xml:space="preserve">South </t>
  </si>
  <si>
    <t>Wages and salaries</t>
  </si>
  <si>
    <t>Total benefits</t>
  </si>
  <si>
    <t>Paid leave</t>
  </si>
  <si>
    <t>Supplemental pay</t>
  </si>
  <si>
    <t>Insurance</t>
  </si>
  <si>
    <t>Retirement and savings</t>
  </si>
  <si>
    <t>Legally required benefits</t>
  </si>
  <si>
    <t>Excavation Wages</t>
  </si>
  <si>
    <t>Space Heating</t>
  </si>
  <si>
    <t>Water Heating</t>
  </si>
  <si>
    <t xml:space="preserve">         
              FROM →
TO 
↓  </t>
  </si>
  <si>
    <r>
      <t xml:space="preserve">Switching </t>
    </r>
    <r>
      <rPr>
        <b/>
        <u/>
        <sz val="28"/>
        <color theme="1"/>
        <rFont val="Times New Roman"/>
        <family val="1"/>
      </rPr>
      <t>To</t>
    </r>
    <r>
      <rPr>
        <b/>
        <sz val="28"/>
        <color theme="1"/>
        <rFont val="Times New Roman"/>
        <family val="1"/>
      </rPr>
      <t xml:space="preserve"> Fuel or Technology</t>
    </r>
  </si>
  <si>
    <t>Subsystem Installation Costs</t>
  </si>
  <si>
    <t>2022 $</t>
  </si>
  <si>
    <t>Propane Fired Furnace - Demo</t>
  </si>
  <si>
    <t>Propane Fired Furnace - Permit</t>
  </si>
  <si>
    <t>https://www.angi.com/articles/air-duct-replacement-cost.htm</t>
  </si>
  <si>
    <t>Space Heating Components</t>
  </si>
  <si>
    <t>https://hvacgnome.com/blog/cost/ductwork-installation-price</t>
  </si>
  <si>
    <t>Assume: No Taxes on Markup</t>
  </si>
  <si>
    <t>Source</t>
  </si>
  <si>
    <t>Subsystem Installations</t>
  </si>
  <si>
    <t>Permit Cost Range</t>
  </si>
  <si>
    <t>Average</t>
  </si>
  <si>
    <t>Permits -Flat Fee</t>
  </si>
  <si>
    <t>Fuel</t>
  </si>
  <si>
    <t>Natural Gas</t>
  </si>
  <si>
    <t>Furnaces</t>
  </si>
  <si>
    <t>Distillate Fuel Oil/Kerosene</t>
  </si>
  <si>
    <t>Boilers</t>
  </si>
  <si>
    <t>Electricity</t>
  </si>
  <si>
    <t>Unit
Heaters</t>
  </si>
  <si>
    <t>Air-Source
Heat Pumps</t>
  </si>
  <si>
    <t>Mini-Split
Heat Pump</t>
  </si>
  <si>
    <t>Ground-Source
Heat Pump</t>
  </si>
  <si>
    <t>Furnace</t>
  </si>
  <si>
    <t>Wood</t>
  </si>
  <si>
    <t>Stove</t>
  </si>
  <si>
    <t>Unit Heaters</t>
  </si>
  <si>
    <t>Color Legend</t>
  </si>
  <si>
    <t>Appliance Type</t>
  </si>
  <si>
    <t>Cost Formula</t>
  </si>
  <si>
    <t>General Summary of Methods (see matrices for specific details)</t>
  </si>
  <si>
    <t>Electric Range Venting:</t>
  </si>
  <si>
    <r>
      <t>Wage percent relative standard error</t>
    </r>
    <r>
      <rPr>
        <b/>
        <vertAlign val="superscript"/>
        <sz val="14"/>
        <rFont val="Times New Roman"/>
        <family val="1"/>
      </rPr>
      <t>(2)</t>
    </r>
  </si>
  <si>
    <r>
      <t>Employment</t>
    </r>
    <r>
      <rPr>
        <b/>
        <vertAlign val="superscript"/>
        <sz val="14"/>
        <rFont val="Times New Roman"/>
        <family val="1"/>
      </rPr>
      <t>(1)</t>
    </r>
  </si>
  <si>
    <r>
      <t>Employment percent relative standard error</t>
    </r>
    <r>
      <rPr>
        <b/>
        <vertAlign val="superscript"/>
        <sz val="14"/>
        <rFont val="Times New Roman"/>
        <family val="1"/>
      </rPr>
      <t>(2)</t>
    </r>
  </si>
  <si>
    <t>Category</t>
  </si>
  <si>
    <t>The U.S. federal government provides tax credits to homeowners who install energy-efficient appliances such as Ground-Source Heat Pumps (GSHPs), Air-Source Heat Pumps (ASHPs), and other eligible equipment. These incentives aim to encourage energy efficiency and minimize environmental harm.</t>
  </si>
  <si>
    <r>
      <t>Air-Source Heat Pumps (ASHPs):</t>
    </r>
    <r>
      <rPr>
        <sz val="11"/>
        <color theme="1"/>
        <rFont val="Times New Roman"/>
        <family val="1"/>
      </rPr>
      <t xml:space="preserve"> Eligible for a tax credit for 30% of the project cost, up to $2,000. </t>
    </r>
  </si>
  <si>
    <t>Homeowners can receive 30% of the installation costs (without any annual or lifetime dollar limits) of qualified "clean energy systems", except for fuel cell property:</t>
  </si>
  <si>
    <t xml:space="preserve">Individuals requesting the credits must file IRS Form 5695, "Residential Energy Credits," with their tax return. The equipment must satisfy energy efficiency requirement standards; all receipts and manufacturer certifications must be kept. </t>
  </si>
  <si>
    <r>
      <t>State and Local Incentives:</t>
    </r>
    <r>
      <rPr>
        <sz val="11"/>
        <color theme="1"/>
        <rFont val="Times New Roman"/>
        <family val="1"/>
      </rPr>
      <t xml:space="preserve"> In addition to availability of federal credits, there are additional energy-efficient incentives for homeowners in some states. </t>
    </r>
  </si>
  <si>
    <t>States throughout the U.S. are progressively implementing policies to encourage the use of energy-efficient home appliances and shift to cleaner energy alternatives. These include:</t>
  </si>
  <si>
    <t>Several states have established appliance efficiency standards that mandate minimum energy and water conservation levels for household products. These standards are designed to lower energy use and decrease greenhouse gas emissions. For example, California's Appliance Efficiency Regulations cover more than 70 products, such as refrigerators, air conditioners, and water heaters.</t>
  </si>
  <si>
    <t>States are promoting the transition from fossil-fuel-powered appliances to electric options by offering rebates and incentives. For example, Indiana’s Home Appliance Rebate program helps low- and moderate-income families by providing financial support to purchase energy-efficient electric appliances like heat pumps and electric stoves.</t>
  </si>
  <si>
    <t>Several states are implementing rules to restrict or prohibit the installation of new fossil-fuel-powered appliances in homes. For instance, Washington State has essentially banned fossil-fuel appliances in new buildings to encourage the use of electricity and cut down on carbon emissions.</t>
  </si>
  <si>
    <t>The federal government aids state initiatives through programs such as the Energy Conservation Program for Consumer Products, which sets minimum energy efficiency standards for appliances. This program offers a regulatory foundation that states can use to improve energy efficiency.</t>
  </si>
  <si>
    <t>As more people switch to electric appliances, the demand on the electric grid rises. In response, states are investing in updating the grid and developing energy storage solutions to maintain reliability and support the increasing use of electric devices. Industry leaders emphasize the importance of advanced software and AI to efficiently manage the changing grid system.</t>
  </si>
  <si>
    <t>Credits &amp; Trends</t>
  </si>
  <si>
    <t>Space Heating Decommissioning</t>
  </si>
  <si>
    <t>Demolition Costs</t>
  </si>
  <si>
    <t>[(Labor Hours x LaborCategoryWage) x (1 + Labor Sales Tax + Benefit Percentage) x (1 + Labor Markup Percent)] + [Material Cost x (1 + Material Sales Tax) x (1 + Material Markup Percent)]</t>
  </si>
  <si>
    <t>Cost = [(Labor Hours x LaborCategoryWage) x (1 + Labor Sales Tax + Benefit Percentage) x (1 + Labor Markup Percent)] + [Material Cost x (1 + Material Sales Tax) x (1 + Material Markup Percent)]</t>
  </si>
  <si>
    <t>Color Key</t>
  </si>
  <si>
    <t>National Average Residential Fuel Switching Costs</t>
  </si>
  <si>
    <r>
      <t xml:space="preserve">Switching </t>
    </r>
    <r>
      <rPr>
        <b/>
        <u/>
        <sz val="28"/>
        <rFont val="Times New Roman"/>
        <family val="1"/>
      </rPr>
      <t>From</t>
    </r>
    <r>
      <rPr>
        <b/>
        <sz val="28"/>
        <rFont val="Times New Roman"/>
        <family val="1"/>
      </rPr>
      <t xml:space="preserve"> Fuel or Technology 2022 $</t>
    </r>
  </si>
  <si>
    <t xml:space="preserve">
Natural Gas
</t>
  </si>
  <si>
    <t xml:space="preserve">
Electricity
</t>
  </si>
  <si>
    <t xml:space="preserve">
Propane
</t>
  </si>
  <si>
    <t xml:space="preserve">
Wood
</t>
  </si>
  <si>
    <t xml:space="preserve">          
                FROM →
TO 
↓  </t>
  </si>
  <si>
    <t>General Assumptions:</t>
  </si>
  <si>
    <t>National and Regional Estimates</t>
  </si>
  <si>
    <t>Cost = [(Labor Hours x LaborCategoryWage) x (1 + Labor Sales Tax + Benefit Percentage) x (1 + Labor Markup Percent)] + [Material Cost x (1 + Material Sales Tax) x (1 + Material Markup Percent)] + Decommissioning Costs + Permit Fees</t>
  </si>
  <si>
    <t>Space Heating Detailed Costs</t>
  </si>
  <si>
    <t>Note 1</t>
  </si>
  <si>
    <t>https://www.angi.com/articles/cost-to-install-dedicated-circuit.htm#dedicated-circuit-installation-cost-breakdown</t>
  </si>
  <si>
    <t>Cost of Labor 2024</t>
  </si>
  <si>
    <t>Cost of Labor 2022</t>
  </si>
  <si>
    <t>Labor Hours</t>
  </si>
  <si>
    <t>https://plelectrical.ca/how-long-does-it-take-to-install-an-electrical-outlet/#:~:text=On%20the%20other%20hand%2C%20if,speak%20with%20an%20experienced%20electrician</t>
  </si>
  <si>
    <t>Item</t>
  </si>
  <si>
    <t>Total Material</t>
  </si>
  <si>
    <t>Total Labor</t>
  </si>
  <si>
    <t>https://www.homedepot.com/p/Everbilt-3-4-in-x-10-ft-Electric-Metallic-Tube-EMT-Conduit/100400405</t>
  </si>
  <si>
    <t>Conduit</t>
  </si>
  <si>
    <t>$0.59 per foot</t>
  </si>
  <si>
    <t>https://www.homedepot.com/s/20%20amp%20single%20pole%20breaker?NCNI-5</t>
  </si>
  <si>
    <t>https://www.lowes.com/search?searchTerm=romex+cable+12%2F2</t>
  </si>
  <si>
    <t>https://homeguide.com/costs/cost-to-install-a-220v-or-240v-outlet</t>
  </si>
  <si>
    <t>Length</t>
  </si>
  <si>
    <t>https://www.lowes.com/search?searchTerm=romex+cable+10%2F2</t>
  </si>
  <si>
    <t>$7 to $13 per foot</t>
  </si>
  <si>
    <t>https://www.costowl.com/home-improvement/hvac/hvac-radiator-heating-system-cost/#radiator-heating-system-cost</t>
  </si>
  <si>
    <t>Piping, valves, fittings</t>
  </si>
  <si>
    <t>https://www.angi.com/articles/how-much-does-boiler-installation-cost.htm</t>
  </si>
  <si>
    <t>Transition</t>
  </si>
  <si>
    <t>Detail/Cost Range</t>
  </si>
  <si>
    <t>Gas to Oil</t>
  </si>
  <si>
    <t>Stainless steel chimney liner, flue pipe, insulation</t>
  </si>
  <si>
    <t>Chimney liner (per foot)</t>
  </si>
  <si>
    <t>Total material costs</t>
  </si>
  <si>
    <t>https://hvacdirect.com</t>
  </si>
  <si>
    <t>Oil to Gas</t>
  </si>
  <si>
    <t>Type B vent pipe, vent cap, draft hood</t>
  </si>
  <si>
    <t>Type B vent pipe (per foot)</t>
  </si>
  <si>
    <t>Vent cap</t>
  </si>
  <si>
    <t>https://www.bls.gov/oes/2022/may/oes_nat.htm</t>
  </si>
  <si>
    <t>https://www.bls.gov/oes/2023/may/oes_nat.htm</t>
  </si>
  <si>
    <t>Occupation</t>
  </si>
  <si>
    <t>Index</t>
  </si>
  <si>
    <t>Electricians</t>
  </si>
  <si>
    <t>https://www.bls.gov/cew/publications/employment-and-wages-annual-averages/2022/#wages</t>
  </si>
  <si>
    <t>https://www.bls.gov/cew/publications/employment-and-wages-annual-averages/2022/#:~:text=In%202022%2C%20BLS%20derived%20totals,by%20UI%20or%20by%20UCFE.</t>
  </si>
  <si>
    <t>https://www.bls.gov/oes/2022/may/oes_nat.htm#00-0000</t>
  </si>
  <si>
    <t>National Wage Index
(between 2022 and 2023)</t>
  </si>
  <si>
    <t>Percent</t>
  </si>
  <si>
    <t>Benefit Table</t>
  </si>
  <si>
    <t xml:space="preserve">Electricity
</t>
  </si>
  <si>
    <t xml:space="preserve">Distillate Fuel Oil/Kerosene
</t>
  </si>
  <si>
    <t>Total Decommissioning Cost</t>
  </si>
  <si>
    <t>Oil-Fired Furnaces</t>
  </si>
  <si>
    <t>Gas-Fired Furnaces</t>
  </si>
  <si>
    <t>Gas-Fired Boilers</t>
  </si>
  <si>
    <t>Oil-Fired Boilers</t>
  </si>
  <si>
    <t>Electric Resistance Furnaces</t>
  </si>
  <si>
    <t>Electric Resistance Unit Heaters</t>
  </si>
  <si>
    <t>Air-Source Heat Pumps</t>
  </si>
  <si>
    <t>Wood Stove</t>
  </si>
  <si>
    <t>Electrical Line 120V Costs</t>
  </si>
  <si>
    <t>Electrical Line 240V Costs</t>
  </si>
  <si>
    <t>Ductwork Costs</t>
  </si>
  <si>
    <t>Piping and Hydronic System Costs</t>
  </si>
  <si>
    <t>Calculation</t>
  </si>
  <si>
    <t>Sales Taxes</t>
  </si>
  <si>
    <t>See Markup Notes worksheet for details and sources</t>
  </si>
  <si>
    <t>Amount</t>
  </si>
  <si>
    <t>Source:</t>
  </si>
  <si>
    <t>Wages for Occupation: Excavating and Loading Machine and Dragline Operators, Surface Mining (SOC Code475022), May 2023</t>
  </si>
  <si>
    <t>Average Wage Estimate</t>
  </si>
  <si>
    <t>BLS</t>
  </si>
  <si>
    <t>average of state-level estimates in 2023</t>
  </si>
  <si>
    <t>https://www.cdtfa.ca.gov/formspubs/pub108/</t>
  </si>
  <si>
    <t>https://taxpolicycenter.org/sites/default/files/statistics/pdf/state_sales_tax_15.pdf</t>
  </si>
  <si>
    <t>Statistics State Sales Tax Rates From. 2000. to . To. 2023. PDF. File. Download Report (289.13 KB) Excel. File. Download Report (107.22 KB) Display Date. February 21, 2023.</t>
  </si>
  <si>
    <t>Combined Sales Taxes on Labor and Materials By State</t>
  </si>
  <si>
    <t>https://www.census.gov/data/tables/time-series/demo/popest/2020s-national-total.html</t>
  </si>
  <si>
    <t>https://www.homedepot.com/p/American-Metal-Products-4-in-x-3-ft-B-Vent-Pipe-4E3HD/309122648</t>
  </si>
  <si>
    <t>Elbows (e.g., 90-degree, 45-degree)</t>
  </si>
  <si>
    <t>Tees</t>
  </si>
  <si>
    <t>https://homeguide.com/costs/gas-furnace-prices</t>
  </si>
  <si>
    <t>https://www.homewyse.com/services/cost_to_install_appliance_circuit.html</t>
  </si>
  <si>
    <t>B-Venting Venting Costs (Non-Condensing)</t>
  </si>
  <si>
    <t>https://duravent.com/literature/L629_W.pdf</t>
  </si>
  <si>
    <t>$900 to $2,200 </t>
  </si>
  <si>
    <t>2024 $</t>
  </si>
  <si>
    <t>https://chimneylinerdepot.com/shop/</t>
  </si>
  <si>
    <t>https://www.angi.com/articles/how-much-does-it-cost-install-ductless-mini-split-ac.htm</t>
  </si>
  <si>
    <t>$288 to $327</t>
  </si>
  <si>
    <t>Fuel Line</t>
  </si>
  <si>
    <t>Gas Meter Usually Provided By Service Company</t>
  </si>
  <si>
    <t>$65 to $74</t>
  </si>
  <si>
    <t>Duct Removal x 6</t>
  </si>
  <si>
    <t>https://www.homewyse.com/services/cost_to_repair_drywall.html</t>
  </si>
  <si>
    <t>$120 to $ 144</t>
  </si>
  <si>
    <t>Excavation</t>
  </si>
  <si>
    <t>Regrading</t>
  </si>
  <si>
    <t>Sources: See "Space Heating Demo and Permit" worksheet</t>
  </si>
  <si>
    <t>https://iwae.com/shop/2-5-to-3-ton-horizontal-ground-loop-geothermal-installation-kit-ha17408.html</t>
  </si>
  <si>
    <t>https://www.angi.com/articles/how-much-does-testing-soil-cost.htm</t>
  </si>
  <si>
    <t>Labor Cost per Hour</t>
  </si>
  <si>
    <t>Air Handler Connections</t>
  </si>
  <si>
    <t>https://www.commtank.com/ufaqs/how-much-does-furnace-removal-cost/</t>
  </si>
  <si>
    <t>https://www.angi.com/articles/how-much-does-it-cost-install-new-furnace.htm</t>
  </si>
  <si>
    <r>
      <t>Cost Ranges</t>
    </r>
    <r>
      <rPr>
        <sz val="12"/>
        <color theme="1"/>
        <rFont val="Times New Roman"/>
        <family val="1"/>
      </rPr>
      <t>:</t>
    </r>
  </si>
  <si>
    <t xml:space="preserve">National </t>
  </si>
  <si>
    <t>Residential Natural Gas Furnaces</t>
  </si>
  <si>
    <t>Residential Distillate Fuel Oil/Kerosene Furnaces</t>
  </si>
  <si>
    <t>Residential Natural Gas Boilers</t>
  </si>
  <si>
    <t>https://homeguide.com/costs/boiler-replacement-cost</t>
  </si>
  <si>
    <t>https://www.angi.com/articles/how-much-does-oil-tank-removal-cost.htm</t>
  </si>
  <si>
    <t>https://homeguide.com/costs/gas-boiler-prices#</t>
  </si>
  <si>
    <t>$50 to $300</t>
  </si>
  <si>
    <t>https://todayshomeowner.com/hvac/cost/boiler-replacement-cost/</t>
  </si>
  <si>
    <t>Disposal  $100 to $300</t>
  </si>
  <si>
    <t>https://www.angi.com/articles/how-much-does-it-cost-install-electric-furnace.htm</t>
  </si>
  <si>
    <t>https://www.angi.com/articles/how-to-remove-baseboard-heater.htm</t>
  </si>
  <si>
    <t>https://thomasgalbraith.com/knowledge-center/ac-repair-costs/</t>
  </si>
  <si>
    <t>Flush and Drain Lines $75 to $250 per line</t>
  </si>
  <si>
    <t xml:space="preserve">Per line </t>
  </si>
  <si>
    <t xml:space="preserve">$50 to $200 </t>
  </si>
  <si>
    <t>https://homeguide.com/costs/propane-furnace-cost</t>
  </si>
  <si>
    <t>Tank Removal $100 to $1,500</t>
  </si>
  <si>
    <t>https://www.angi.com/articles/propane-tank-installation-cost.htm</t>
  </si>
  <si>
    <t>Repair Walls, Floor, Roof, Siding</t>
  </si>
  <si>
    <t>Chimney Stack Removal (Above Roof Line)</t>
  </si>
  <si>
    <t>Chimney Breast Removal (Below Roof Line)</t>
  </si>
  <si>
    <t>https://homeguide.com/costs/chimney-fireplace-removal-cost</t>
  </si>
  <si>
    <t>Residential Mini-Split Heat Pump</t>
  </si>
  <si>
    <t>Residential Ground-Source Heat Pump</t>
  </si>
  <si>
    <t>Residential Propane Furnace</t>
  </si>
  <si>
    <t xml:space="preserve"> $400 to $1,500</t>
  </si>
  <si>
    <t>https://www.angi.com/articles/common-gas-furnace-prices.htm</t>
  </si>
  <si>
    <t>$200 to $500</t>
  </si>
  <si>
    <t>https://homeguide.com/costs/mobile-home-furnace-replacement-cost</t>
  </si>
  <si>
    <t>$250 to $1,500</t>
  </si>
  <si>
    <t xml:space="preserve">	$200 to $500</t>
  </si>
  <si>
    <t xml:space="preserve"> $250 to $400</t>
  </si>
  <si>
    <t>$100 to $650</t>
  </si>
  <si>
    <t>https://homeguide.com/costs/geothermal-heat-pump-cost</t>
  </si>
  <si>
    <t>$50 to $250</t>
  </si>
  <si>
    <t>https://www.angi.com/articles/wood-burning-stove-installation-cost.htm</t>
  </si>
  <si>
    <t>$25 to $55 per foot to remove and replace</t>
  </si>
  <si>
    <t xml:space="preserve">Total Cost </t>
  </si>
  <si>
    <t>Note 1:</t>
  </si>
  <si>
    <t>Natural Gas Clothes
Dryers</t>
  </si>
  <si>
    <t>Distillate Fuel Oil/Kerosene Furnaces</t>
  </si>
  <si>
    <t>Natural Gas
Boilers</t>
  </si>
  <si>
    <t>Distillate Fuel Oil/Kerosene
Boilers</t>
  </si>
  <si>
    <t>Note 2:</t>
  </si>
  <si>
    <t>https://www.eia.gov/consumption/residential/data/2020/hc/pdf/HC%206.8.pdf</t>
  </si>
  <si>
    <t>Trends - Current State of the Age of Space Heating</t>
  </si>
  <si>
    <t>Percentage of New Direct Venting Furnaces 2015</t>
  </si>
  <si>
    <t>Total U.S. (millions)</t>
  </si>
  <si>
    <t>Trends - Percentage of Direct Venting (Condensing) Gas Furnaces</t>
  </si>
  <si>
    <t>North</t>
  </si>
  <si>
    <t>Natural Gas Clothes Dryers</t>
  </si>
  <si>
    <t>Distillate Fuel Oil/Kerosene Boilers</t>
  </si>
  <si>
    <t>B-Venting</t>
  </si>
  <si>
    <t>Direct Venting</t>
  </si>
  <si>
    <t>Oil Boilers Venting</t>
  </si>
  <si>
    <t>Natural Gas Boilers Venting</t>
  </si>
  <si>
    <t>Oil Furnaces Venting</t>
  </si>
  <si>
    <t>Natural Gas Furnace Venting</t>
  </si>
  <si>
    <t>Venting Notes</t>
  </si>
  <si>
    <t>Excavation Wage Index:</t>
  </si>
  <si>
    <t>Wage percent relative standard error</t>
  </si>
  <si>
    <t>Percent Switching to Direct (Condensing) Venting</t>
  </si>
  <si>
    <t>Notes and Additional Sources</t>
  </si>
  <si>
    <t>Notes</t>
  </si>
  <si>
    <t>Permits</t>
  </si>
  <si>
    <t>Permit Costs</t>
  </si>
  <si>
    <t xml:space="preserve">120V Costs Detailed Here  </t>
  </si>
  <si>
    <t>Permit - Plumbing</t>
  </si>
  <si>
    <t>Cost</t>
  </si>
  <si>
    <t>Capping Propane</t>
  </si>
  <si>
    <t>Cost per Labor Hours</t>
  </si>
  <si>
    <t>https://www.forbes.com/home-improvement/plumbing/water-heater-installation-replacement-cost/</t>
  </si>
  <si>
    <t>$300 to $1,500</t>
  </si>
  <si>
    <t>https://edwinstipe.com/free-estimate/water-heaters/</t>
  </si>
  <si>
    <t>https://www.commtank.com/ufaqs/how-long-does-the-removal-and-installation-usually-take/</t>
  </si>
  <si>
    <t xml:space="preserve">Oil Line Costs Detailed Here </t>
  </si>
  <si>
    <t>Total Cost</t>
  </si>
  <si>
    <t>https://www.angi.com/articles/how-much-should-it-cost-install-range-hood-my-kitchen-running-air-ducts.htm</t>
  </si>
  <si>
    <t xml:space="preserve">Labor </t>
  </si>
  <si>
    <t>1 to 4 hours</t>
  </si>
  <si>
    <t>Cost Per Hour</t>
  </si>
  <si>
    <t>Detailed Propane Capping Costs Found Here</t>
  </si>
  <si>
    <t>Detailed Fuel Line Costs Found Here</t>
  </si>
  <si>
    <t>Propane tank and connections</t>
  </si>
  <si>
    <t>2 to 4</t>
  </si>
  <si>
    <t>$50 to $150</t>
  </si>
  <si>
    <t>https://www.fixr.com/costs/dryer-vent-installation#:~:text</t>
  </si>
  <si>
    <t>Detailed Capping Costs Can be Found Here</t>
  </si>
  <si>
    <t>https://homeguide.com/costs/oil-tank-removal-cost</t>
  </si>
  <si>
    <t>Vent Material Requirements:
Natural Gas and Propane can often share venting systems, but materials must be rated for the fuel type and application.
High-efficiency systems require condensation-resistant venting (e.g., PVC or polypropylene for condensing units).
Distillate Fuel Oil requires specialized venting, typically a chimney or stainless steel liner to resist soot and acidic byproducts.</t>
  </si>
  <si>
    <t>Find Detailed Fuel Line Costs Here</t>
  </si>
  <si>
    <t>4 to 6 hours</t>
  </si>
  <si>
    <t>Labor Cost</t>
  </si>
  <si>
    <t>https://homeguide.com/costs/water-heater-installation-cost</t>
  </si>
  <si>
    <t>$30 to $160</t>
  </si>
  <si>
    <t>$50 to $200</t>
  </si>
  <si>
    <t>Table of Contents</t>
  </si>
  <si>
    <t>National Average Costs</t>
  </si>
  <si>
    <t>East North Central Costs</t>
  </si>
  <si>
    <t>East South Central Costs</t>
  </si>
  <si>
    <t>Middle Atlantic Costs</t>
  </si>
  <si>
    <t>Mountain Costs</t>
  </si>
  <si>
    <t>New England Costs</t>
  </si>
  <si>
    <t>Pacific Costs</t>
  </si>
  <si>
    <t>South Atlantic Costs</t>
  </si>
  <si>
    <t>West North Central Costs</t>
  </si>
  <si>
    <t>West South Central Costs</t>
  </si>
  <si>
    <t>Space Heating Subcomponents</t>
  </si>
  <si>
    <t>Space Heating Costs</t>
  </si>
  <si>
    <t>Space Heating Demo and Permit</t>
  </si>
  <si>
    <t>General Wages</t>
  </si>
  <si>
    <t>Mini-Split Air Handler Notes</t>
  </si>
  <si>
    <t>Residential Distillate Fuel Oil/Kerosene Boilers</t>
  </si>
  <si>
    <t>Similar Costs to Capping Gas and Oil</t>
  </si>
  <si>
    <t>New Vent Through Exterior Wall</t>
  </si>
  <si>
    <t>BLS Relevant Data on Wages and Employment for (Plumbers, Pipefitters, and Steamfitters), Electricians, and Heating, Air Conditioning, and Refrigeration Mechanics and Installers</t>
  </si>
  <si>
    <t>Occupation: Plumbers, Pipefitters, and Steamfitters(SOC Code472152), Period: May 2023</t>
  </si>
  <si>
    <t>Occupation: Electricians(SOC Code472111)
Period: May 2023</t>
  </si>
  <si>
    <t>Occupation: Heating, Air Conditioning, and Refrigeration Mechanics and Installers(SOC Code499021), Period: May 2023</t>
  </si>
  <si>
    <r>
      <t>Wage percent relative standard error error</t>
    </r>
    <r>
      <rPr>
        <b/>
        <vertAlign val="superscript"/>
        <sz val="14"/>
        <rFont val="Times New Roman"/>
        <family val="1"/>
      </rPr>
      <t>(2)</t>
    </r>
  </si>
  <si>
    <t>This credit offers 30% of the energy-efficient improvements costs to home owners, with the following limits:</t>
  </si>
  <si>
    <t>Architect</t>
  </si>
  <si>
    <t>Water Heater Switching Components and Costs</t>
  </si>
  <si>
    <t>Back to Table of Contents</t>
  </si>
  <si>
    <t>Permit  - Electrical
Electrical Line 240V</t>
  </si>
  <si>
    <t>Click Here for New Electric Circuit Installation Note 1</t>
  </si>
  <si>
    <t>Census Division</t>
  </si>
  <si>
    <t>Mini-Split Breakout Labor and Cost per Census Division</t>
  </si>
  <si>
    <t>Decommissioning Costs for Various Space Heating Types, by Census Division</t>
  </si>
  <si>
    <t>Residential Estimates for Each Census Division</t>
  </si>
  <si>
    <t>Census Divisional Labor Cost</t>
  </si>
  <si>
    <t xml:space="preserve">Census Division
</t>
  </si>
  <si>
    <t>Notes and Assumptions</t>
  </si>
  <si>
    <t xml:space="preserve">
                  FROM →
  TO 
  ↓  </t>
  </si>
  <si>
    <t>Weighted Average Sales Tax Rate by Census Division</t>
  </si>
  <si>
    <t>https://www.fixr.com/costs/natural-gas-furnace</t>
  </si>
  <si>
    <t>$1200 - $3000</t>
  </si>
  <si>
    <t>$1500 to $2000</t>
  </si>
  <si>
    <t>$200 to $800</t>
  </si>
  <si>
    <t xml:space="preserve">https://slipstreaminc.org/sites/default/files/documents/research/heat-pump-clothes-dryers.pdf </t>
  </si>
  <si>
    <t>Number of Radiators</t>
  </si>
  <si>
    <t>Radiator</t>
  </si>
  <si>
    <t>$100 to $300</t>
  </si>
  <si>
    <t>https://homeguide.com/costs/radiator-replacement-cost</t>
  </si>
  <si>
    <t>General Piping Labor Cost</t>
  </si>
  <si>
    <t>Total Cost $2024</t>
  </si>
  <si>
    <t>Piping and Hydronic System Costs by Census Division $2022</t>
  </si>
  <si>
    <t>Total Cost $2022</t>
  </si>
  <si>
    <t>Cost Per Unit</t>
  </si>
  <si>
    <t>Cost Per Region</t>
  </si>
  <si>
    <t>Air Handler Units Cost</t>
  </si>
  <si>
    <t>Total With Air Handler</t>
  </si>
  <si>
    <t>Clothes Drying Switching Costs</t>
  </si>
  <si>
    <r>
      <t xml:space="preserve">Residential </t>
    </r>
    <r>
      <rPr>
        <b/>
        <u/>
        <sz val="36"/>
        <color theme="0"/>
        <rFont val="Times New Roman"/>
        <family val="1"/>
      </rPr>
      <t>Cooking</t>
    </r>
    <r>
      <rPr>
        <b/>
        <sz val="36"/>
        <color theme="0"/>
        <rFont val="Times New Roman"/>
        <family val="1"/>
      </rPr>
      <t xml:space="preserve"> Switching Costs:
Standard Fuels and Technologies</t>
    </r>
  </si>
  <si>
    <t>Clothes Drying Costs</t>
  </si>
  <si>
    <t>Cooking Costs</t>
  </si>
  <si>
    <t>Cooking Switching Costs</t>
  </si>
  <si>
    <t xml:space="preserve">https://www.fixr.com/costs/ductwork </t>
  </si>
  <si>
    <t>https://www.blackhillsinc.com/blog/how-much-should-hvac-ductwork-installation-cost/</t>
  </si>
  <si>
    <t>Clothes Drying</t>
  </si>
  <si>
    <t>Includes removal costs, venting, permitting, capping, electrical work (for electric), gas line (for propane or natural gas), and labor. The total subsystem installation costs are calculated using the following formula:</t>
  </si>
  <si>
    <t>Cooking</t>
  </si>
  <si>
    <t>Water Heating Costs</t>
  </si>
  <si>
    <t>ENERGY STAR</t>
  </si>
  <si>
    <t>Detailed 240V Costs Found Here</t>
  </si>
  <si>
    <t xml:space="preserve">https://www.angi.com/articles/appliance-removal-cost.htm </t>
  </si>
  <si>
    <t>Plumbers</t>
  </si>
  <si>
    <t>Hourly Weighted Census Divisional Average Wages
by Employment 2022</t>
  </si>
  <si>
    <t>2022 Average Wage/Hour</t>
  </si>
  <si>
    <t>2023 Average Wage/Hour</t>
  </si>
  <si>
    <t xml:space="preserve">https://www.bls.gov/oes/2023/may/oes475022.htm  </t>
  </si>
  <si>
    <t xml:space="preserve">Weighted Average Sales Tax Rate in a Census Division = 
∑(Population of State  × Sales Tax Rate of State) / ∑(Population of all States in the Census Division)
​
 </t>
  </si>
  <si>
    <t>Population 
2023</t>
  </si>
  <si>
    <t xml:space="preserve">https://taxhero.net/blog/sales-tax-on-services/ </t>
  </si>
  <si>
    <t xml:space="preserve">Note: In Virginia, labor associated with the installation or repair of real property (like appliance installation) is not typically subject to sales tax if separately stated. Labor: Not taxed if the contract is for real property improvements
</t>
  </si>
  <si>
    <t>Note: No Data Available for Hawaii</t>
  </si>
  <si>
    <t>Note: The Contractor is Responsible for Inspections</t>
  </si>
  <si>
    <t xml:space="preserve">https://homeguide.com/costs/dryer-vent-installation-cost#:~:text </t>
  </si>
  <si>
    <t xml:space="preserve">https://www.angi.com/articles/dryer-vent-cost.htm </t>
  </si>
  <si>
    <t>Some states do not have labor sales taxes at all and some exclude for residential construction is certain conditions are met (usually when time and materials are itemized): Here are a few examples and sources:</t>
  </si>
  <si>
    <t xml:space="preserve">https://www.eia.gov/energyexplained/heating-oil/use-of-heating-oil.php </t>
  </si>
  <si>
    <t xml:space="preserve">https://www.gsa.gov/system/files/GPG_Findings_004-Condensing_Boilers.pdf </t>
  </si>
  <si>
    <t xml:space="preserve">https://www.energystar.gov/sites/default/files/asset/document/ENERGY%20STAR%20Commercial%20Boiler%20Design%20Guide.pdf </t>
  </si>
  <si>
    <t xml:space="preserve">https://www.eia.gov/todayinenergy/detail.php?id=20011#:~:text=Condensing%20furnaces%20are%20able%20to,gas%20utilities%2C%20and%20efficiency%20advocates </t>
  </si>
  <si>
    <t xml:space="preserve">https://www.aga.org/wp-content/uploads/2024/05/240516-AGA-Energy-Star-2024-Furnace-Comments-Final.pdf </t>
  </si>
  <si>
    <t>Click here for Note 1</t>
  </si>
  <si>
    <t>Click here for Note 2</t>
  </si>
  <si>
    <t xml:space="preserve">https://www.eia.gov/consumption/residential/data/2020/hc/pdf/HC%206.6.pdf </t>
  </si>
  <si>
    <t xml:space="preserve">https://buildern.com/resources/blog/general-contractor-markup/ </t>
  </si>
  <si>
    <t>Assume: no taxes on markup</t>
  </si>
  <si>
    <t xml:space="preserve">Includes removal costs, labor and materials, and permitting. Depending on the fuel type, there are electrical work costs (for electrical), or piping and fuel line (for propane or natural gas), and venting and capping. The total costs are calculated using the following formula, which incorporates both labor and materials costs: </t>
  </si>
  <si>
    <t xml:space="preserve">Costs include materials (including the sum of the mentioned costs in the relevant cell of the cost matrix, net of a materials tax and a materials markup estimate) and labor (priced at an average hourly rate, and allowing for a wage markup factor and a labor tax). The total costs are calculated using the following formula: </t>
  </si>
  <si>
    <t>Includes subsystem installation costs, demolition costs, and permit costs. Subsystem installation costs include labor (priced at an average hourly rate, and allowing for a wage markup factor and a labor tax) and materials costs. Materials include:  ductwork, electrical lines, fuel line, duct closure, venting, ventilation modification, piping and hydronic system, fuel lines and pipes to outdoor tanks, electrical wiring, refrigerant, and horizontal loop system. Material cost includes the sum of the above mentioned costs, net of a material tax and a materials markup estimate. The total subsystem installation costs are calculated using the following formula:</t>
  </si>
  <si>
    <t xml:space="preserve">https://www.energy.gov/eere/buildings/appliance-and-equipment-standards-program </t>
  </si>
  <si>
    <r>
      <t>Other Qualified Improvements:</t>
    </r>
    <r>
      <rPr>
        <sz val="11"/>
        <color theme="1"/>
        <rFont val="Times New Roman"/>
        <family val="1"/>
      </rPr>
      <t xml:space="preserve"> Homeowners can receive up to $1,200 per year for some energy-efficient improvements, including:</t>
    </r>
    <r>
      <rPr>
        <b/>
        <sz val="11"/>
        <color theme="1"/>
        <rFont val="Times New Roman"/>
        <family val="1"/>
      </rPr>
      <t xml:space="preserve"> Home energy audits: $150.</t>
    </r>
  </si>
  <si>
    <t xml:space="preserve">https://www.aspentech.com/en/insights/industrial-ai-from-aspentech </t>
  </si>
  <si>
    <t>Note 3:</t>
  </si>
  <si>
    <t>Natural Gas
Furnaces</t>
  </si>
  <si>
    <t>Click here for Note 3</t>
  </si>
  <si>
    <t xml:space="preserve">https://www.aga.org/wp-content/uploads/2023/06/AGA-Energy-Insights-Empowering-Consumer-Choices-Analyzing-the-Impact-of-the-ENERGY-STAR-Program-on-the-Adoption-of-High-Efficiency-Gas-Appliances.pdf </t>
  </si>
  <si>
    <t xml:space="preserve">Example Calculations for Number of Mini-Split Air Handlers Needed,  by Census Division </t>
  </si>
  <si>
    <t>Electric
Heat Pump
(Ventless)</t>
  </si>
  <si>
    <t>Base Units: 2, Climate Factor: 1.5–2 \n Calculation: 2 × 1.5 = 3 to 2 × 2 = 4; (3+4)/2 = 3.5</t>
  </si>
  <si>
    <t>Base Units: 2, Climate Factor: 1.25–1.5 \n Calculation: 2 × 1.25 = 2.5 to 2 × 1.5 = 3; (2.5+3)/2 = 2.75</t>
  </si>
  <si>
    <t>Base Units: 2, Climate Factor: 1.5 \n Calculation: 2 × 1.5 = 3</t>
  </si>
  <si>
    <t>Base Units: 2, Climate Factor: 1–1.5 \n Calculation: 2 × 1 = 2 to 2 × 1.5 = 3; (2+3)/2 = 2.5</t>
  </si>
  <si>
    <t>https://www.eia.gov/consumption/residential/maps.php</t>
  </si>
  <si>
    <t>Mixed-humid</t>
  </si>
  <si>
    <t>Hot-humid</t>
  </si>
  <si>
    <t>Marine</t>
  </si>
  <si>
    <t>All homes</t>
  </si>
  <si>
    <t>Q</t>
  </si>
  <si>
    <t>One</t>
  </si>
  <si>
    <t>Two</t>
  </si>
  <si>
    <t>Three</t>
  </si>
  <si>
    <t>Four or more</t>
  </si>
  <si>
    <t>Total U.S.</t>
  </si>
  <si>
    <t>RECS Climate Zones</t>
  </si>
  <si>
    <t>What is a Mini-Split Heat Pump?</t>
  </si>
  <si>
    <t xml:space="preserve">https://www.energy.gov/energysaver/ductless-minisplit-heat-pumps </t>
  </si>
  <si>
    <t xml:space="preserve">https://bsesc.energy.gov/sites/default/files/2024-10/Guide%20To%20Sizing%20%26%20Selecting%20Air-Source.pdf </t>
  </si>
  <si>
    <t xml:space="preserve">https://www.energy.gov/energysaver/heat-pump-systems </t>
  </si>
  <si>
    <t>Additional Information</t>
  </si>
  <si>
    <t xml:space="preserve">https://www1.eere.energy.gov/buildings/publications/pdfs/building_america/mini_split_pumps.pdf </t>
  </si>
  <si>
    <t>CE3.1 Annual household site end-use consumption in the U.S. - totals and averages</t>
  </si>
  <si>
    <t xml:space="preserve">https://www.eia.gov/consumption/residential/data/2020/index.php?view=consumption&amp;src=%E2%80%B9%20Consumption%20%20%20%20%20%20Residential%20Energy%20Consumption%20Survey%20(RECS)-f3#by%20end%20uses </t>
  </si>
  <si>
    <t>Space heating</t>
  </si>
  <si>
    <t>Weighted Average</t>
  </si>
  <si>
    <t>2 × 1.5 = 3 to 2 × 2.0 = 4; (3+4)/2 = 3.5</t>
  </si>
  <si>
    <t>2 × 1.25 = 2.5 to 2 × 1.5 = 3; (2.5 × 3) / 2 = 2.75</t>
  </si>
  <si>
    <t>2 × 1.0 = 2 to 2 × 1.5 = 3; (2+3)/2= 2.5</t>
  </si>
  <si>
    <t xml:space="preserve">                                                      
                                    FROM →
                 TO ↓</t>
  </si>
  <si>
    <t xml:space="preserve">                                                      
                           FROM →
                 TO ↓</t>
  </si>
  <si>
    <t>https://www.subzero-wolf.com/-/media/files/united-states/product-downloads/legacy-products/wolf/induction-ranges/induction-ranges-ig.pdf</t>
  </si>
  <si>
    <t>$75 to $125</t>
  </si>
  <si>
    <t xml:space="preserve">https://www.fixr.com/costs/cooktop-installation </t>
  </si>
  <si>
    <t xml:space="preserve">https://www.maytag.com/blog/kitchen/will-gas-stove-work-without-electricity.html </t>
  </si>
  <si>
    <t>https://beachesenergy.com/about-us/news/why-appliance-voltage-matters</t>
  </si>
  <si>
    <t xml:space="preserve">https://www.angi.com/articles/how-much-does-it-cost-install-ductless-mini-split-ac.htm </t>
  </si>
  <si>
    <t xml:space="preserve">https://www.homewyse.com/services/cost_to_install_split_system_air_conditioner.html </t>
  </si>
  <si>
    <t>Venting (Average)</t>
  </si>
  <si>
    <t>Direct Venting (Condensing) Costs</t>
  </si>
  <si>
    <t>Gas Line</t>
  </si>
  <si>
    <t>$360 to $740</t>
  </si>
  <si>
    <t xml:space="preserve">https://homeguide.com/costs/gas-line-installation-cost </t>
  </si>
  <si>
    <t xml:space="preserve">https://homeguide.com/costs/oil-furnace-cost </t>
  </si>
  <si>
    <r>
      <t xml:space="preserve">Switching </t>
    </r>
    <r>
      <rPr>
        <b/>
        <u/>
        <sz val="24"/>
        <rFont val="Times New Roman"/>
        <family val="1"/>
      </rPr>
      <t>From</t>
    </r>
    <r>
      <rPr>
        <b/>
        <sz val="24"/>
        <rFont val="Times New Roman"/>
        <family val="1"/>
      </rPr>
      <t xml:space="preserve"> Fuel or Technology</t>
    </r>
  </si>
  <si>
    <t xml:space="preserve">         
                     FROM →
TO 
↓  </t>
  </si>
  <si>
    <t>Duct Removal (Optional)</t>
  </si>
  <si>
    <r>
      <t xml:space="preserve">Residential </t>
    </r>
    <r>
      <rPr>
        <b/>
        <u/>
        <sz val="36"/>
        <color theme="0"/>
        <rFont val="Times New Roman"/>
        <family val="1"/>
      </rPr>
      <t>Space Heating</t>
    </r>
    <r>
      <rPr>
        <b/>
        <sz val="36"/>
        <color theme="0"/>
        <rFont val="Times New Roman"/>
        <family val="1"/>
      </rPr>
      <t xml:space="preserve"> Switching Costs: Standard Fuels and Technologies
Including Average Venting Switching Costs</t>
    </r>
  </si>
  <si>
    <t>Stainless Steel Chimney Liner (Optional)</t>
  </si>
  <si>
    <t>Wood Stove Venting</t>
  </si>
  <si>
    <t>$250 to $800</t>
  </si>
  <si>
    <t xml:space="preserve">https://homeguide.com/costs/wood-stove-installation-cost </t>
  </si>
  <si>
    <t>NaturalGasFurnaceVentPVC</t>
  </si>
  <si>
    <t>GasLine</t>
  </si>
  <si>
    <t>ElectricalLine240V</t>
  </si>
  <si>
    <t>ElectricalLine120V</t>
  </si>
  <si>
    <t>FuelLine</t>
  </si>
  <si>
    <t>DuctClosure</t>
  </si>
  <si>
    <t>PipingandHydronicSystem</t>
  </si>
  <si>
    <t>AirHandlerConnections</t>
  </si>
  <si>
    <t>HorizontalLoopSystem</t>
  </si>
  <si>
    <t>GasFiredFurnaceDemo</t>
  </si>
  <si>
    <t>OilFiredFurnaceDemo</t>
  </si>
  <si>
    <t>GasFiredBoilerDemo</t>
  </si>
  <si>
    <t>OilFiredBoilerDemo</t>
  </si>
  <si>
    <t>ElectricResistanceFurnaceDemo</t>
  </si>
  <si>
    <t>ElectricResistanceUnitHeaterDemo</t>
  </si>
  <si>
    <t>PropaneFiredFurnaceDemo</t>
  </si>
  <si>
    <t>WoodStoveDemo</t>
  </si>
  <si>
    <t>GasFiredFurnacesPermit</t>
  </si>
  <si>
    <t>OilFiredFurnacesPermit</t>
  </si>
  <si>
    <t>GasFiredBoilersPermit</t>
  </si>
  <si>
    <t>OilFiredBoilersPermit</t>
  </si>
  <si>
    <t>ElectricResistanceFurnacesPermit</t>
  </si>
  <si>
    <t>ElectricResistanceUnitHeatersPermit</t>
  </si>
  <si>
    <t>Air-SourceHeatPumpsPermit</t>
  </si>
  <si>
    <t>Mini-SplitHeatPumpPermit</t>
  </si>
  <si>
    <t>Ground-SourceHeatPumpPermit</t>
  </si>
  <si>
    <t>PropaneFiredFurnacePermit</t>
  </si>
  <si>
    <t>WoodStovePermit</t>
  </si>
  <si>
    <t>NaturalGasFurnaceVenting</t>
  </si>
  <si>
    <t>PropaneVenting</t>
  </si>
  <si>
    <t>OilBoilersVenting</t>
  </si>
  <si>
    <t>WoodStoveVenting</t>
  </si>
  <si>
    <t>OilFurnacesVentPVC</t>
  </si>
  <si>
    <t>NaturalGasBoilersVentPVC</t>
  </si>
  <si>
    <t>PropaneVentPVC</t>
  </si>
  <si>
    <t>OilBoilersVentPVC</t>
  </si>
  <si>
    <t>NaturalGasFurnaceVentSTD</t>
  </si>
  <si>
    <t>OilFurnacesVentSTD</t>
  </si>
  <si>
    <t>NaturalGasBoilersVentSTD</t>
  </si>
  <si>
    <t>OilBoilersVentSTD</t>
  </si>
  <si>
    <t>PropaneVentSTD</t>
  </si>
  <si>
    <r>
      <t xml:space="preserve">Switching </t>
    </r>
    <r>
      <rPr>
        <b/>
        <u/>
        <sz val="24"/>
        <rFont val="Times New Roman"/>
        <family val="1"/>
      </rPr>
      <t>To</t>
    </r>
    <r>
      <rPr>
        <b/>
        <sz val="24"/>
        <rFont val="Times New Roman"/>
        <family val="1"/>
      </rPr>
      <t xml:space="preserve"> Fuel or Technology</t>
    </r>
  </si>
  <si>
    <t>GasFiredBoilerDemo
GasFiredFurnacesPermit
Ductwork
NaturalGasFurnaceVenting</t>
  </si>
  <si>
    <t>OilFiredBoilerDemo
NaturalGasFurnaceVenting
GasFiredFurnacesPermit
Ductwork
GasLine</t>
  </si>
  <si>
    <t>ElectricResistanceFurnaceDemo
NaturalGasFurnaceVenting
GasFiredFurnacesPermit
GasLine
ElectricalLine120V</t>
  </si>
  <si>
    <t>GasLine
GasFiredFurnacesPermit
ElectricResistanceUnitHeaterDemo
NaturalGasFurnaceVenting
ElectricalLine120V
Ductwork</t>
  </si>
  <si>
    <t>Ductwork
OilFiredFurnacesPermit
GasFiredBoilerDemo
OilFurnacesVenting
FuelLine</t>
  </si>
  <si>
    <t>Ductwork
OilFiredFurnacesPermit
OilFiredBoilerDemo
OilFurnacesVenting</t>
  </si>
  <si>
    <t>FuelLine
OilFiredFurnacesPermit
ElectricResistanceFurnaceDemo
OilFurnacesVenting
ElectricalLine120V</t>
  </si>
  <si>
    <t>FuelLine
OilFiredFurnacesPermit
ElectricResistanceUnitHeaterDemo
OilFurnacesVenting
ElectricalLine120V
Ductwork</t>
  </si>
  <si>
    <t>OilFiredBoilersPermit
PipingandHydronicSystem
OilFiredFurnaceDemo
DuctClosure
OilBoilersVenting</t>
  </si>
  <si>
    <t>OilFiredBoilersPermit
OilBoilersVenting
GasFiredBoilerDemo
FuelLine</t>
  </si>
  <si>
    <t>FuelLine
OilFiredBoilersPermit
ElectricResistanceFurnaceDemo
OilBoilersVenting
PipingandHydronicSystem
ElectricalLine120V</t>
  </si>
  <si>
    <t>FuelLine
OilFiredBoilersPermit
ElectricResistanceUnitHeaterDemo
OilBoilersVenting
PipingandHydronicSystem
ElectricalLine120V</t>
  </si>
  <si>
    <t>OilFiredBoilersPermit
PipingandHydronicSystem
PropaneFiredFurnaceDemo
OilBoilersVenting
DuctClosure
FuelLine</t>
  </si>
  <si>
    <t>GasFiredFurnaceDemo
ElectricalLine240V
ElectricResistanceFurnacesPermit</t>
  </si>
  <si>
    <t>OilFiredFurnaceDemo
ElectricResistanceFurnacesPermit
ElectricalLine240V</t>
  </si>
  <si>
    <t xml:space="preserve">GasFiredBoilerDemo
ElectricalLine240V
ElectricResistanceFurnacesPermit
Ductwork
</t>
  </si>
  <si>
    <t xml:space="preserve">OilFiredBoilerDemo
ElectricalLine240V
ElectricResistanceFurnacesPermit
Ductwork
</t>
  </si>
  <si>
    <t xml:space="preserve">ElectricResistanceUnitHeaterDemo
ElectricalLine240V
ElectricResistanceFurnacesPermit
Ductwork
</t>
  </si>
  <si>
    <t>PropaneFiredFurnaceDemo
ElectricResistanceFurnacesPermit
ElectricalLine240V</t>
  </si>
  <si>
    <t xml:space="preserve">GasFiredFurnaceDemo
ElectricalLine240V
DuctClosure
ElectricResistanceUnitHeatersPermit
</t>
  </si>
  <si>
    <t>OilFiredFurnaceDemo
ElectricalLine240V
DuctClosure
ElectricResistanceUnitHeatersPermit</t>
  </si>
  <si>
    <t xml:space="preserve">GasFiredBoilerDemo
ElectricalLine240V
ElectricResistanceUnitHeatersPermit
</t>
  </si>
  <si>
    <t xml:space="preserve">ElectricalLine240V
OilFiredBoilerDemo
ElectricResistanceUnitHeatersPermit
</t>
  </si>
  <si>
    <t xml:space="preserve">ElectricResistanceFurnaceDemo
ElectricalLine240V
DuctClosure
ElectricResistanceUnitHeatersPermit
</t>
  </si>
  <si>
    <t>PropaneFiredFurnaceDemo
ElectricalLine240V
DuctClosure
ElectricResistanceUnitHeatersPermit</t>
  </si>
  <si>
    <t xml:space="preserve">GasFiredFurnaceDemo
ElectricalLine240V
Air-SourceHeatPumpsPermit
</t>
  </si>
  <si>
    <t xml:space="preserve">ElectricalLine240V
OilFiredFurnaceDemo
Air-SourceHeatPumpsPermit
</t>
  </si>
  <si>
    <t xml:space="preserve">GasFiredBoilerDemo
ElectricalLine240V
Air-SourceHeatPumpsPermit
Ductwork
</t>
  </si>
  <si>
    <t>ElectricalLine240V
OilFiredBoilerDemo
Air-SourceHeatPumpsPermit
Ductwork</t>
  </si>
  <si>
    <t xml:space="preserve">ElectricalLine240V
ElectricResistanceFurnaceDemo
Air-SourceHeatPumpsPermit
</t>
  </si>
  <si>
    <t>ElectricalLine240V
ElectricResistanceUnitHeaterDemo
Air-SourceHeatPumpsPermit
Ductwork</t>
  </si>
  <si>
    <t xml:space="preserve">ElectricalLine240V
PropaneFiredFurnaceDemo
Air-SourceHeatPumpsPermit
</t>
  </si>
  <si>
    <t>GasFiredFurnaceDemo
ElectricalLine240V
ElectricalLine120V
AirHandlerConnections
Mini-SplitHeatPumpPermit
DuctClosure</t>
  </si>
  <si>
    <t xml:space="preserve">ElectricalLine240V
ElectricalLine120V
AirHandlerConnections
OilFiredFurnaceDemo
Mini-SplitHeatPumpPermit
DuctClosure
</t>
  </si>
  <si>
    <t xml:space="preserve">GasFiredBoilerDemo
ElectricalLine240V
ElectricalLine120V
AirHandlerConnections
Mini-SplitHeatPumpPermit
</t>
  </si>
  <si>
    <t xml:space="preserve">ElectricalLine240V
ElectricalLine120V
AirHandlerConnections
OilFiredBoilerDemo
Mini-SplitHeatPumpPermit
</t>
  </si>
  <si>
    <t xml:space="preserve">ElectricalLine240V
ElectricalLine120V
AirHandlerConnections
ElectricResistanceFurnaceDemo
Mini-SplitHeatPumpPermit
DuctClosure
</t>
  </si>
  <si>
    <t>ElectricalLine120V
AirHandlerConnections
ElectricResistanceUnitHeaterDemo
Mini-SplitHeatPumpPermit
DuctClosure
ElectricalLine240V</t>
  </si>
  <si>
    <t>ElectricalLine240V
AirHandlerConnections
PropaneFiredFurnaceDemo
Mini-SplitHeatPumpPermit
DuctClosure
ElectricalLine120V</t>
  </si>
  <si>
    <t xml:space="preserve">GasFiredFurnaceDemo
ElectricalLine240V
Ground-SourceHeatPumpPermit
HorizontalLoopSystem
</t>
  </si>
  <si>
    <t>ElectricalLine240V
OilFiredFurnaceDemo
Ground-SourceHeatPumpPermit
HorizontalLoopSystem
Ductwork</t>
  </si>
  <si>
    <t xml:space="preserve">ElectricalLine240V
GasFiredBoilerDemo
Ground-SourceHeatPumpPermit
HorizontalLoopSystem
</t>
  </si>
  <si>
    <t>ElectricalLine240V
OilFiredBoilerDemo
Ground-SourceHeatPumpPermit
HorizontalLoopSystem
Ductwork</t>
  </si>
  <si>
    <t xml:space="preserve">ElectricalLine240V
ElectricResistanceFurnaceDemo
Ground-SourceHeatPumpPermit
HorizontalLoopSystem
</t>
  </si>
  <si>
    <t>ElectricalLine240V
ElectricResistanceUnitHeaterDemo
Ground-SourceHeatPumpPermit
Ductwork
HorizontalLoopSystem
ElectricalLine120V</t>
  </si>
  <si>
    <t>ElectricalLine240V
PropaneFiredFurnaceDemo
Ground-SourceHeatPumpPermit
HorizontalLoopSystem
Ductwork</t>
  </si>
  <si>
    <t xml:space="preserve">FuelLine
PropaneFiredFurnacePermit
OilFiredFurnaceDemo
PropaneVenting
</t>
  </si>
  <si>
    <t>Ductwork
PropaneFiredFurnacePermit
OilFiredBoilerDemo
PropaneVenting
FuelLine</t>
  </si>
  <si>
    <t>FuelLine
PropaneFiredFurnacePermit
ElectricResistanceFurnaceDemo
PropaneVenting
ElectricalLine120V</t>
  </si>
  <si>
    <t>FuelLine
PropaneFiredFurnacePermit
ElectricResistanceUnitHeaterDemo
PropaneVenting
ElectricalLine120V
Ductwork</t>
  </si>
  <si>
    <t xml:space="preserve">GasFiredFurnaceDemo
WoodStoveVenting
WoodStovePermit
</t>
  </si>
  <si>
    <t xml:space="preserve">OilFiredFurnaceDemo
WoodStoveVenting
WoodStovePermit
</t>
  </si>
  <si>
    <t xml:space="preserve">GasFiredBoilerDemo
WoodStoveVenting
WoodStovePermit
</t>
  </si>
  <si>
    <t xml:space="preserve">OilFiredBoilerDemo
WoodStoveVenting
WoodStovePermit
</t>
  </si>
  <si>
    <t xml:space="preserve">ElectricResistanceFurnaceDemo
WoodStoveVenting
WoodStovePermit
</t>
  </si>
  <si>
    <t xml:space="preserve">ElectricResistanceUnitHeaterDemo
WoodStoveVenting
WoodStovePermit
</t>
  </si>
  <si>
    <t xml:space="preserve">PropaneFiredFurnaceDemo
WoodStoveVenting
WoodStovePermit
</t>
  </si>
  <si>
    <t xml:space="preserve">OilFiredFurnaceDemo 
NaturalGasFurnaceVenting 
GasFiredFurnacesPermit 
GasLine </t>
  </si>
  <si>
    <t>AirSourceHeatPumpDemo</t>
  </si>
  <si>
    <t>MiniSplitHeatDemo</t>
  </si>
  <si>
    <t>GroundSourceHeatDemo</t>
  </si>
  <si>
    <t xml:space="preserve">OilFiredFurnaceDemo 
NaturalGasFurnaceVentPVC
GasFiredFurnacesPermit 
GasLine </t>
  </si>
  <si>
    <t>GasFiredBoilerDemo
GasFiredFurnacesPermit
Ductwork
NaturalGasFurnaceVentPVC</t>
  </si>
  <si>
    <t>OilFiredBoilerDemo
NaturalGasFurnaceVentPVC
GasFiredFurnacesPermit
Ductwork
GasLine</t>
  </si>
  <si>
    <t>ElectricResistanceFurnaceDemo
NaturalGasFurnaceVentPVC
GasFiredFurnacesPermit
GasLine
ElectricalLine120V</t>
  </si>
  <si>
    <t>GasLine
GasFiredFurnacesPermit
ElectricResistanceUnitHeaterDemo
NaturalGasFurnaceVentPVC
ElectricalLine120V
Ductwork</t>
  </si>
  <si>
    <t>Ductwork
OilFiredFurnacesPermit
GasFiredBoilerDemo
OilFurnacesVentPVC
FuelLine</t>
  </si>
  <si>
    <t>Ductwork
OilFiredFurnacesPermit
OilFiredBoilerDemo
OilFurnacesVentPVC</t>
  </si>
  <si>
    <t>FuelLine
OilFiredFurnacesPermit
ElectricResistanceFurnaceDemo
OilFurnacesVentPVC
ElectricalLine120V</t>
  </si>
  <si>
    <t>FuelLine
OilFiredFurnacesPermit
ElectricResistanceUnitHeaterDemo
OilFurnacesVentPVC
ElectricalLine120V
Ductwork</t>
  </si>
  <si>
    <t>GasFiredFurnaceDemo
PipingandHydronicSystem
GasFiredBoilersPermit
DuctClosure
NaturalGasBoilersVentPVC</t>
  </si>
  <si>
    <t>OilFiredFurnaceDemo
PipingandHydronicSystem
NaturalGasBoilersVentPVC
GasFiredBoilersPermit
DuctClosure
GasLine</t>
  </si>
  <si>
    <t>OilFiredBoilerDemo
GasLine
NaturalGasBoilersVentPVC
GasFiredBoilersPermit</t>
  </si>
  <si>
    <t>PipingandHydronicSystem
ElectricResistanceFurnaceDemo
GasLine
NaturalGasBoilersVentPVC
GasFiredBoilersPermit
ElectricalLine120V</t>
  </si>
  <si>
    <t>GasLine
GasFiredBoilersPermit
ElectricResistanceUnitHeaterDemo
NaturalGasBoilersVentPVC
PipingandHydronicSystem
ElectricalLine120V</t>
  </si>
  <si>
    <t>PropaneFiredFurnaceDemo
PipingandHydronicSystem
NaturalGasBoilersVentPVC
GasFiredBoilersPermit
DuctClosure
GasLine</t>
  </si>
  <si>
    <t xml:space="preserve">FuelLine
PropaneFiredFurnacePermit
OilFiredFurnaceDemo
PropaneVentPVC
</t>
  </si>
  <si>
    <t>Ductwork
PropaneFiredFurnacePermit
OilFiredBoilerDemo
PropaneVentPVC
FuelLine</t>
  </si>
  <si>
    <t>FuelLine
PropaneFiredFurnacePermit
ElectricResistanceFurnaceDemo
PropaneVentPVC
ElectricalLine120V</t>
  </si>
  <si>
    <t>FuelLine
PropaneFiredFurnacePermit
ElectricResistanceUnitHeaterDemo
PropaneVentPVC
ElectricalLine120V
Ductwork</t>
  </si>
  <si>
    <t xml:space="preserve">FuelLine
OilFiredBoilersPermit
PipingandHydronicSystem
GasFiredFurnaceDemo
OilBoilersVentPVC
DuctClosure
</t>
  </si>
  <si>
    <t>OilFiredBoilersPermit
PipingandHydronicSystem
OilFiredFurnaceDemo
DuctClosure
OilBoilersVentPVC</t>
  </si>
  <si>
    <t>OilFiredBoilersPermit
OilBoilersVentPVC
GasFiredBoilerDemo
FuelLine</t>
  </si>
  <si>
    <t>FuelLine
OilFiredBoilersPermit
ElectricResistanceFurnaceDemo
OilBoilersVentPVC
PipingandHydronicSystem
ElectricalLine120V</t>
  </si>
  <si>
    <t>FuelLine
OilFiredBoilersPermit
ElectricResistanceUnitHeaterDemo
OilBoilersVentPVC
PipingandHydronicSystem
ElectricalLine120V</t>
  </si>
  <si>
    <t>OilFiredBoilersPermit
PipingandHydronicSystem
PropaneFiredFurnaceDemo
OilBoilersVentPVC
DuctClosure
FuelLine</t>
  </si>
  <si>
    <t xml:space="preserve">OilFiredFurnaceDemo 
NaturalGasFurnaceVentSTD
GasFiredFurnacesPermit 
GasLine </t>
  </si>
  <si>
    <t>GasFiredBoilerDemo
GasFiredFurnacesPermit
Ductwork
NaturalGasFurnaceVentSTD</t>
  </si>
  <si>
    <t>OilFiredBoilerDemo
NaturalGasFurnaceVentSTD
GasFiredFurnacesPermit
Ductwork
GasLine</t>
  </si>
  <si>
    <t>ElectricResistanceFurnaceDemo
NaturalGasFurnaceVentSTD
GasFiredFurnacesPermit
GasLine
ElectricalLine120V</t>
  </si>
  <si>
    <t>GasLine
GasFiredFurnacesPermit
ElectricResistanceUnitHeaterDemo
NaturalGasFurnaceVentSTD
ElectricalLine120V
Ductwork</t>
  </si>
  <si>
    <t>Ductwork
OilFiredFurnacesPermit
GasFiredBoilerDemo
OilFurnacesVentSTD
FuelLine</t>
  </si>
  <si>
    <t>Ductwork
OilFiredFurnacesPermit
OilFiredBoilerDemo
OilFurnacesVentSTD</t>
  </si>
  <si>
    <t>FuelLine
OilFiredFurnacesPermit
ElectricResistanceFurnaceDemo
OilFurnacesVentSTD
ElectricalLine120V</t>
  </si>
  <si>
    <t>FuelLine
OilFiredFurnacesPermit
ElectricResistanceUnitHeaterDemo
OilFurnacesVentSTD
ElectricalLine120V
Ductwork</t>
  </si>
  <si>
    <t>GasFiredFurnaceDemo
PipingandHydronicSystem
GasFiredBoilersPermit
DuctClosure
NaturalGasBoilersVentSTD</t>
  </si>
  <si>
    <t>OilFiredFurnaceDemo
PipingandHydronicSystem
NaturalGasBoilersVentSTD
GasFiredBoilersPermit
DuctClosure
GasLine</t>
  </si>
  <si>
    <t>OilFiredBoilerDemo
GasLine
NaturalGasBoilersVentSTD
GasFiredBoilersPermit</t>
  </si>
  <si>
    <t>PipingandHydronicSystem
ElectricResistanceFurnaceDemo
GasLine
NaturalGasBoilersVentSTD
GasFiredBoilersPermit
ElectricalLine120V</t>
  </si>
  <si>
    <t>GasLine
GasFiredBoilersPermit
ElectricResistanceUnitHeaterDemo
NaturalGasBoilersVentSTD
PipingandHydronicSystem
ElectricalLine120V</t>
  </si>
  <si>
    <t>PropaneFiredFurnaceDemo
PipingandHydronicSystem
NaturalGasBoilersVentSTD
GasFiredBoilersPermit
DuctClosure
GasLine</t>
  </si>
  <si>
    <t xml:space="preserve">FuelLine
OilFiredBoilersPermit
PipingandHydronicSystem
GasFiredFurnaceDemo
OilBoilersVentSTD
DuctClosure
</t>
  </si>
  <si>
    <t>OilFiredBoilersPermit
PipingandHydronicSystem
OilFiredFurnaceDemo
DuctClosure
OilBoilersVentSTD</t>
  </si>
  <si>
    <t>OilFiredBoilersPermit
OilBoilersVentSTD
GasFiredBoilerDemo
FuelLine</t>
  </si>
  <si>
    <t>FuelLine
OilFiredBoilersPermit
ElectricResistanceFurnaceDemo
OilBoilersVentSTD
PipingandHydronicSystem
ElectricalLine120V</t>
  </si>
  <si>
    <t>FuelLine
OilFiredBoilersPermit
ElectricResistanceUnitHeaterDemo
OilBoilersVentSTD
PipingandHydronicSystem
ElectricalLine120V</t>
  </si>
  <si>
    <t>OilFiredBoilersPermit
PipingandHydronicSystem
PropaneFiredFurnaceDemo
OilBoilersVentSTD
DuctClosure
FuelLine</t>
  </si>
  <si>
    <t>FuelLine
PropaneFiredFurnacePermit
OilFiredFurnaceDemo
PropaneVentSTD</t>
  </si>
  <si>
    <t>Ductwork
PropaneFiredFurnacePermit
OilFiredBoilerDemo
PropaneVentSTD
FuelLine</t>
  </si>
  <si>
    <t>FuelLine
PropaneFiredFurnacePermit
ElectricResistanceFurnaceDemo
PropaneVentSTD
ElectricalLine120V</t>
  </si>
  <si>
    <t>FuelLine
PropaneFiredFurnacePermit
ElectricResistanceUnitHeaterDemo
PropaneVentSTD
ElectricalLine120V
Ductwork</t>
  </si>
  <si>
    <t>NaturalGasBoilerVenting</t>
  </si>
  <si>
    <t>GasFiredFurnaceDemo
PipingandHydronicSystem
GasFiredBoilersPermit
DuctClosure
NaturalGasBoilerVenting</t>
  </si>
  <si>
    <t>OilFiredFurnaceDemo
PipingandHydronicSystem
NaturalGasBoilerVenting
GasFiredBoilersPermit
DuctClosure
GasLine</t>
  </si>
  <si>
    <t>OilFiredBoilerDemo
GasLine
NaturalGasBoilerVenting
GasFiredBoilersPermit</t>
  </si>
  <si>
    <t>PipingandHydronicSystem
ElectricResistanceFurnaceDemo
GasLine
NaturalGasBoilerVenting
GasFiredBoilersPermit
ElectricalLine120V</t>
  </si>
  <si>
    <t>GasLine
GasFiredBoilersPermit
ElectricResistanceUnitHeaterDemo
NaturalGasBoilerVenting
PipingandHydronicSystem
ElectricalLine120V</t>
  </si>
  <si>
    <t>PropaneFiredFurnaceDemo
PipingandHydronicSystem
NaturalGasBoilerVenting
GasFiredBoilersPermit
DuctClosure
GasLine</t>
  </si>
  <si>
    <t>Tank Removal Costs (Optional)</t>
  </si>
  <si>
    <t>Removal (Optional)</t>
  </si>
  <si>
    <t>Permit  - Electrical
Electrical Line 240V
Capping Gas Line</t>
  </si>
  <si>
    <t xml:space="preserve">Permit  - Electrical
Electrical Line 240V
Capping Propane
</t>
  </si>
  <si>
    <t xml:space="preserve">Permit  - Electrical
</t>
  </si>
  <si>
    <t xml:space="preserve">Permit  - Electrical
Capping Oil
Electrical Line 240V
</t>
  </si>
  <si>
    <t>Permit  - Electrical
Capping Propane
Electrical Line 240V</t>
  </si>
  <si>
    <t xml:space="preserve">Permit  - Electrical
Capping Gas Line
Electrical Line 240V
</t>
  </si>
  <si>
    <t>OilVentPVC</t>
  </si>
  <si>
    <t>OilVentSTD</t>
  </si>
  <si>
    <t>OilVentAVE</t>
  </si>
  <si>
    <t xml:space="preserve">Distillate Fuel Oil/Kerosene </t>
  </si>
  <si>
    <t>PropaneTankVentSTD</t>
  </si>
  <si>
    <t>PropaneTankVentPVC</t>
  </si>
  <si>
    <t>PropaneInstVentSTD</t>
  </si>
  <si>
    <t>PropaneInstVentPVC</t>
  </si>
  <si>
    <t>GasTankVentSTD</t>
  </si>
  <si>
    <t>GasTankVentPVC</t>
  </si>
  <si>
    <t>GasInstVentSTD</t>
  </si>
  <si>
    <t xml:space="preserve">https://www.angi.com/articles/how-much-does-tankless-water-heater-cost.htm </t>
  </si>
  <si>
    <t xml:space="preserve">https://todayshomeowner.com/plumbing/cost/tankless-water-heater-installation-cost/ </t>
  </si>
  <si>
    <t>Tank Removal Only Costs (Optional)</t>
  </si>
  <si>
    <t xml:space="preserve">https://www.commtank.com/ufaqs/how-long-does-the-removal-and-installation-usually-take/ </t>
  </si>
  <si>
    <t>Standard</t>
  </si>
  <si>
    <t>Condensing</t>
  </si>
  <si>
    <t>Non-Condensing</t>
  </si>
  <si>
    <t>Average Total Installed Cost</t>
  </si>
  <si>
    <t>Average Total Cost</t>
  </si>
  <si>
    <t>Gas or Propane</t>
  </si>
  <si>
    <t xml:space="preserve">Average </t>
  </si>
  <si>
    <t>Direct Vent</t>
  </si>
  <si>
    <t>Tank -Type</t>
  </si>
  <si>
    <t>Tankless-Type</t>
  </si>
  <si>
    <t xml:space="preserve">https://www.angi.com/articles/gas-vs-electric-water-heaters.htm </t>
  </si>
  <si>
    <t xml:space="preserve">https://www.forbes.com/home-improvement/plumbing/water-heater-installation-replacement-cost/ </t>
  </si>
  <si>
    <t>Propane - Instant</t>
  </si>
  <si>
    <t>Propane - Tank</t>
  </si>
  <si>
    <t>Natural Gas - Tank</t>
  </si>
  <si>
    <t>Natural Gas - Instant</t>
  </si>
  <si>
    <t>Venting (Standard)</t>
  </si>
  <si>
    <t>Permit - Gas
Permit - HVAC
GasInstVentSTD
Capping Oil
Gas Line Installation</t>
  </si>
  <si>
    <t>Permit - Gas
Permit - HVAC
GasInstVentSTD
Capping Propane
Gas Line Installation</t>
  </si>
  <si>
    <t>Permit - Gas
Permit - HVAC
Capping Oil
PropaneInstVentPVC</t>
  </si>
  <si>
    <t>Permit - Gas
Permit - HVAC
GasInstVentPVC
Capping Oil
Gas Line Installation</t>
  </si>
  <si>
    <t>Permit - Gas
Permit - HVAC
GasInstVentPVC
Capping Propane
Gas Line Installation</t>
  </si>
  <si>
    <t>PropaneTankVentAVE</t>
  </si>
  <si>
    <t>PropaneInstVentAVE</t>
  </si>
  <si>
    <t>GasTankVentAVE</t>
  </si>
  <si>
    <t>GasInstVentAVE</t>
  </si>
  <si>
    <t>Permit - Gas
Permit - HVAC
Capping Oil
PropaneInstVentAVE</t>
  </si>
  <si>
    <t>Permit - Gas
Permit - HVAC
GasInstVentAVE
Capping Oil
Gas Line Installation</t>
  </si>
  <si>
    <t>Permit - Gas
Permit - HVAC
GasInstVentAVE
Capping Propane
Gas Line Installation</t>
  </si>
  <si>
    <t>Permit  - Electrical
Electrical Line 240V
Capping Oil</t>
  </si>
  <si>
    <t>Permit  - Electrical
Electrical Line 240V
Capping Propane</t>
  </si>
  <si>
    <t>Venting (High-Efficiency)</t>
  </si>
  <si>
    <t>Venting (To Standard-Efficiency)</t>
  </si>
  <si>
    <t xml:space="preserve">High-Efficiency System Average </t>
  </si>
  <si>
    <t>Venting (To High-Efficiency)</t>
  </si>
  <si>
    <t>Residential Space Heating Switching Components: Standard Fuels and Technologies
Including Switching Costs From a Non-Existant or Standard-Efficiency B-Vent to a High-Efficiency (Condensing) Direct Vent</t>
  </si>
  <si>
    <t>Residential Space Heating Switching Components: Standard Fuels and Technologies
Including Switching Costs From Non-Existant or High-Efficiency (Condensing) Direct Vent when Applicable to a Standard-Efficiency B-Vent</t>
  </si>
  <si>
    <t>Fuel Line Costs</t>
  </si>
  <si>
    <t xml:space="preserve">https://duravent.com/product/directvent-pro </t>
  </si>
  <si>
    <t>Oil Lines</t>
  </si>
  <si>
    <t>Total Labor Hours</t>
  </si>
  <si>
    <t>Total Labor Hours Cost per Hour</t>
  </si>
  <si>
    <t>Total Labor Hours Cost</t>
  </si>
  <si>
    <t>4 to 8 hours</t>
  </si>
  <si>
    <t>10.8 hours</t>
  </si>
  <si>
    <t>Copper refrigerant lines, insulation, and fittings</t>
  </si>
  <si>
    <t>Sources: HVAC installation standards (HVAC Direct)</t>
  </si>
  <si>
    <t xml:space="preserve">Assume a 3 ton system </t>
  </si>
  <si>
    <t xml:space="preserve">  Concrete Pad Removal $200</t>
  </si>
  <si>
    <t xml:space="preserve">  Remove Wood-Burning Fireplace</t>
  </si>
  <si>
    <t>Baseboard Heater Removal $25 each (Assume 6 Units Total)</t>
  </si>
  <si>
    <t>Permit $25 to $75</t>
  </si>
  <si>
    <t>Furnace Removals and Disposals $150 to $400 </t>
  </si>
  <si>
    <t xml:space="preserve">      Remove Electric / Gas Fireplace Insert</t>
  </si>
  <si>
    <t>Assume that all costs are Labor costs</t>
  </si>
  <si>
    <t>Removing the gas line and then capping at the base</t>
  </si>
  <si>
    <t>Total  cost</t>
  </si>
  <si>
    <t>Total Labor $</t>
  </si>
  <si>
    <t xml:space="preserve">
Electric Dryer</t>
  </si>
  <si>
    <t xml:space="preserve">
Heat Pump
(Ventless)</t>
  </si>
  <si>
    <t xml:space="preserve">
Propane Dryer</t>
  </si>
  <si>
    <t xml:space="preserve">
Gas Dryer</t>
  </si>
  <si>
    <t>Electric Dryer</t>
  </si>
  <si>
    <t>Heat Pump
(Ventless)</t>
  </si>
  <si>
    <t>Propane Dryer</t>
  </si>
  <si>
    <t>Gas Dryer</t>
  </si>
  <si>
    <t>Options to Add or Remove Costs</t>
  </si>
  <si>
    <t>Estimates are presented for the overall national level, as well as separate estimates for each census division that are derived as described in the corresponding tabs in this workbook:</t>
  </si>
  <si>
    <t>Steps to Add a Subcomponent:</t>
  </si>
  <si>
    <t>2. Assign a Unique Cost Name:</t>
  </si>
  <si>
    <t>3. Enter Known Labor &amp; Material Costs (If Available):</t>
  </si>
  <si>
    <t>4. Use Simplified Cost Addition (If Necessary):</t>
  </si>
  <si>
    <t>If labor and material costs are not available, use a simplified method:</t>
  </si>
  <si>
    <t>5. Update the Subcomponent Matrix:</t>
  </si>
  <si>
    <t>6. Update the Cost Matrix:</t>
  </si>
  <si>
    <t>1. Identify the Appliance &amp; Subcomponent Table:</t>
  </si>
  <si>
    <t>=($H$8*'19 General Wages'!K9)*(1+'21 Sales Taxes'!G8+'19 General Wages'!L9)*(1+'14 Space Heating Detailed Costs'!$I$5) + $H$9*(1+'21 Sales Taxes'!H8)*(1+'14 Space Heating Detailed Costs'!$I$6)</t>
  </si>
  <si>
    <t>Term</t>
  </si>
  <si>
    <t>Function</t>
  </si>
  <si>
    <t>(1+'21 Sales Taxes'!G8+'19 General Wages'!L9)</t>
  </si>
  <si>
    <t>(1+'14 Space Heating Detailed Costs'!$I$5)</t>
  </si>
  <si>
    <t>$H$8</t>
  </si>
  <si>
    <t>'19 General Wages'!K9</t>
  </si>
  <si>
    <t>$H$9</t>
  </si>
  <si>
    <t>(1+'21 Sales Taxes'!H8)</t>
  </si>
  <si>
    <t>(1+'14 Space Heating Detailed Costs'!$I$6)</t>
  </si>
  <si>
    <t>Steps to Remove a Subcomponent:</t>
  </si>
  <si>
    <t>References the Labor Cost</t>
  </si>
  <si>
    <t>Example Formula:</t>
  </si>
  <si>
    <t>References the Sales Tax on Labor (G8 in this instance for New England) and the Benefits (L9)</t>
  </si>
  <si>
    <t>References the Markup on Labor</t>
  </si>
  <si>
    <t>References the Material Costs</t>
  </si>
  <si>
    <t xml:space="preserve">References the Sales Tax on Materials(H8 in this instance for New England) </t>
  </si>
  <si>
    <t>References the Markup on Materials</t>
  </si>
  <si>
    <t>$C$7:$AW$7</t>
  </si>
  <si>
    <t xml:space="preserve">Simplified Example: </t>
  </si>
  <si>
    <t>References the Relevant Labor Category for the Census Division</t>
  </si>
  <si>
    <t>Represents all Subcomponent names in the "Subcomponent Costs by Census Division Matrix"</t>
  </si>
  <si>
    <t>Represents all Subcomponent costs by the row number of the census division in the "Subcomponent Costs by Census Division Matrix"</t>
  </si>
  <si>
    <t xml:space="preserve">https://www.angi.com/articles/how-much-does-boiler-installation-cost.htm </t>
  </si>
  <si>
    <t xml:space="preserve">https://www.angi.com/articles/how-much-does-heat-pump-cost.htm </t>
  </si>
  <si>
    <t xml:space="preserve">https://indoortemp.com/resources/how-long-does-a-furnace-install-take </t>
  </si>
  <si>
    <t xml:space="preserve">https://www.supplyhouse.com/B-Vent-Fittings-14710000 </t>
  </si>
  <si>
    <t xml:space="preserve">https://www.energy.gov/energysaver/home-heating-systems </t>
  </si>
  <si>
    <t xml:space="preserve">https://www.angi.com/articles/geothermal-heating-and-cooling-cost.htm </t>
  </si>
  <si>
    <t xml:space="preserve">https://www.homewyse.com/services/cost_to_remove_vent.html </t>
  </si>
  <si>
    <t xml:space="preserve">https://www.angi.com/articles/how-much-does-it-cost-install-electric-furnace.htm </t>
  </si>
  <si>
    <r>
      <t>Note</t>
    </r>
    <r>
      <rPr>
        <sz val="12"/>
        <color theme="1"/>
        <rFont val="Times New Roman"/>
        <family val="1"/>
      </rPr>
      <t>: Similar to gas boilers, but there are additional costs with oil tanks</t>
    </r>
  </si>
  <si>
    <t>Assume that the ground loop will remain in place as it is very unlikely to remove to the cost of installation</t>
  </si>
  <si>
    <t>Wiring to an available receptacle</t>
  </si>
  <si>
    <t>The technology swap is the same or virtually non-existent</t>
  </si>
  <si>
    <t>Average Site Energy Consumption (Million Btu per Household Using the End Use)</t>
  </si>
  <si>
    <t>Air conditioning</t>
  </si>
  <si>
    <t xml:space="preserve">https://www.energy.gov/eere/geothermal/tax-credits-incentives-and-technical-assistance-geothermal-heat-pumps </t>
  </si>
  <si>
    <r>
      <rPr>
        <b/>
        <sz val="11"/>
        <color theme="1"/>
        <rFont val="Times New Roman"/>
        <family val="1"/>
      </rPr>
      <t>Tax Credits</t>
    </r>
    <r>
      <rPr>
        <sz val="11"/>
        <color theme="1"/>
        <rFont val="Times New Roman"/>
        <family val="1"/>
      </rPr>
      <t xml:space="preserve"> – The US offers a 30% federal tax credit for eligible geothermal heat pump systems that were placed in service after December 31, 2021 and before January 1, 2033. Unlike a deduction, this is a direct credit. For instance, a $20,000 investment in a system results in a $6,000 reduction in taxes. If the individual's tax liability is lower than the credit, they will receive the difference as a refund. See the schedule in the cell to the right for the timeline of the credits being phased out moving forward.</t>
    </r>
  </si>
  <si>
    <t>https://www.canarymedia.com/articles/heat-pumps/heat-pumps-are-everywhere-even-in-clothes-dryers</t>
  </si>
  <si>
    <t>Switching to Heat Pumps</t>
  </si>
  <si>
    <t>Power Requirements Note:
Standard Power Needs: Most Propane water heaters with electrical components require a standard 120V outlet. The energy demand is minimal, typically under 1 amp.
Backup for Off-Grid Locations: In remote or off-grid areas, some Propane water heaters come with battery-powered ignitions instead of needing a connection to the grid.</t>
  </si>
  <si>
    <t xml:space="preserve">https://www.energystar.gov/products/ask-the-experts/what-goes-cost-installing-heat-pump-water-heater </t>
  </si>
  <si>
    <t xml:space="preserve">https://www.energystar.gov/partner-resources/residential_new/educational_resources/sup_program_guidance/heat_pump_water_heater_guide/frequently_asked_questions </t>
  </si>
  <si>
    <r>
      <t>Income Limitations:</t>
    </r>
    <r>
      <rPr>
        <sz val="11"/>
        <color theme="1"/>
        <rFont val="Times New Roman"/>
        <family val="1"/>
      </rPr>
      <t xml:space="preserve"> There are some income thresholds for some rebates and incentives. The specific program details can be found in the sources above.</t>
    </r>
  </si>
  <si>
    <r>
      <t xml:space="preserve">Switching </t>
    </r>
    <r>
      <rPr>
        <b/>
        <u/>
        <sz val="28"/>
        <rFont val="Times New Roman"/>
        <family val="1"/>
      </rPr>
      <t>From</t>
    </r>
    <r>
      <rPr>
        <b/>
        <sz val="28"/>
        <rFont val="Times New Roman"/>
        <family val="1"/>
      </rPr>
      <t xml:space="preserve"> Fuel or Technology 2022 $
Storage Tanks</t>
    </r>
  </si>
  <si>
    <r>
      <t xml:space="preserve">Switching </t>
    </r>
    <r>
      <rPr>
        <b/>
        <u/>
        <sz val="28"/>
        <color theme="1"/>
        <rFont val="Times New Roman"/>
        <family val="1"/>
      </rPr>
      <t>To</t>
    </r>
    <r>
      <rPr>
        <b/>
        <sz val="28"/>
        <color theme="1"/>
        <rFont val="Times New Roman"/>
        <family val="1"/>
      </rPr>
      <t xml:space="preserve"> Fuel or Technology
Instantaneous (Tankless)</t>
    </r>
  </si>
  <si>
    <t>GasInstVentPVC</t>
  </si>
  <si>
    <t>ElectricalLine120V
GasLine
AirSourceHeatPumpDemo
GasFiredFurnacesPermit
NaturalGasFurnaceVenting</t>
  </si>
  <si>
    <t>FuelLine
OilFiredFurnacesPermit
AirSourceHeatPumpDemo
OilFurnacesVenting
ElectricalLine120V</t>
  </si>
  <si>
    <t>FuelLine
OilFiredBoilersPermit
AirSourceHeatPumpDemo
OilBoilersVenting
PipingandHydronicSystem
ElectricalLine120V</t>
  </si>
  <si>
    <t>AirSourceHeatPumpDemo
ElectricalLine240V
ElectricResistanceUnitHeatersPermit
DuctClosure</t>
  </si>
  <si>
    <t xml:space="preserve">AirSourceHeatPumpDemo
Ground-SourceHeatPumpPermit
HorizontalLoopSystem
</t>
  </si>
  <si>
    <t>FuelLine
PropaneFiredFurnacePermit
AirSourceHeatPumpDemo
PropaneVenting
ElectricalLine120V</t>
  </si>
  <si>
    <t xml:space="preserve">AirSourceHeatPumpDemo
WoodStoveVenting
WoodStovePermit
</t>
  </si>
  <si>
    <t>ElectricalLine120V
GasLine
AirSourceHeatPumpDemo
GasFiredFurnacesPermit
NaturalGasFurnaceVentPVC</t>
  </si>
  <si>
    <t>FuelLine
OilFiredFurnacesPermit
AirSourceHeatPumpDemo
OilFurnacesVentPVC
ElectricalLine120V</t>
  </si>
  <si>
    <t>FuelLine
OilFiredBoilersPermit
AirSourceHeatPumpDemo
OilBoilersVentPVC
PipingandHydronicSystem
ElectricalLine120V</t>
  </si>
  <si>
    <t>FuelLine
PropaneFiredFurnacePermit
AirSourceHeatPumpDemo
PropaneVentPVC
ElectricalLine120V</t>
  </si>
  <si>
    <t>ElectricalLine120V
GasLine
AirSourceHeatPumpDemo
GasFiredFurnacesPermit
NaturalGasFurnaceVentSTD</t>
  </si>
  <si>
    <t>FuelLine
OilFiredFurnacesPermit
AirSourceHeatPumpDemo
OilFurnacesVentSTD
ElectricalLine120V</t>
  </si>
  <si>
    <t>FuelLine
OilFiredBoilersPermit
AirSourceHeatPumpDemo
OilBoilersVentSTD
PipingandHydronicSystem
ElectricalLine120V</t>
  </si>
  <si>
    <t>FuelLine
PropaneFiredFurnacePermit
AirSourceHeatPumpDemo
PropaneVentSTD
ElectricalLine120V</t>
  </si>
  <si>
    <t>AirSourceHeatPumpDemo
ElectricResistanceFurnacesPermit
ElectricalLine240V</t>
  </si>
  <si>
    <t>Propane Tank Installation</t>
  </si>
  <si>
    <t xml:space="preserve">https://combinedenergyservices.com/home-owned-vs-supplier-loaned-propane-tank-which-is-better/ </t>
  </si>
  <si>
    <t>Natural Gas Furnaces Venting</t>
  </si>
  <si>
    <t>Labor and equipment cost</t>
  </si>
  <si>
    <t>Concrete pad</t>
  </si>
  <si>
    <t>Upgrade Electric Panel 200V  Cost (Optional)</t>
  </si>
  <si>
    <t xml:space="preserve">https://homeguide.com/costs/oil-tank-replacement-cost </t>
  </si>
  <si>
    <t xml:space="preserve">         
                      FROM →
TO 
↓  </t>
  </si>
  <si>
    <t>$250 to $500</t>
  </si>
  <si>
    <t>Permit - Gas
Permit - HVAC
Gas Line Installation
GasInstVentAVE
Capping Oil</t>
  </si>
  <si>
    <t>Permit - Gas
Permit - HVAC
Gas Line Installation
GasInstVentAVE
Capping Propane</t>
  </si>
  <si>
    <t>Permit - Gas
Permit - HVAC
Gas Line Installation
GasInstVentAVE
Electrical Line 120V
Permit  - Electrical</t>
  </si>
  <si>
    <t>Permit - Gas
Permit - HVAC
Gas Line Installation
GasInstVentSTD
Electrical Line 120V
Permit  - Electrical</t>
  </si>
  <si>
    <t>Permit - Gas
Permit - HVAC
Gas Line Installation
GasInstVentPVC
Electrical Line 120V
Permit  - Electrical</t>
  </si>
  <si>
    <t xml:space="preserve">Permit  - Electrical
</t>
  </si>
  <si>
    <t>Permit - Gas
Permit - HVAC
Gas Line Installation
GasInstVentSTD
Capping Oil</t>
  </si>
  <si>
    <t>Permit - Gas
Permit - HVAC
Gas Line Installation
GasInstVentSTD
Capping Propane</t>
  </si>
  <si>
    <t>Permit - Gas
Permit - HVAC
Gas Line Installation
GasInstVentPVC
Capping Oil</t>
  </si>
  <si>
    <t>Permit - Gas
Permit - HVAC
Gas Line Installation
GasInstVentPVC
Capping Propane</t>
  </si>
  <si>
    <r>
      <t xml:space="preserve">Switching </t>
    </r>
    <r>
      <rPr>
        <b/>
        <u/>
        <sz val="28"/>
        <color theme="1"/>
        <rFont val="Times New Roman"/>
        <family val="1"/>
      </rPr>
      <t>To</t>
    </r>
    <r>
      <rPr>
        <b/>
        <sz val="28"/>
        <color theme="1"/>
        <rFont val="Times New Roman"/>
        <family val="1"/>
      </rPr>
      <t xml:space="preserve"> Fuel or Technology
Storage Tanks</t>
    </r>
  </si>
  <si>
    <r>
      <t xml:space="preserve">Switching </t>
    </r>
    <r>
      <rPr>
        <b/>
        <u/>
        <sz val="28"/>
        <rFont val="Times New Roman"/>
        <family val="1"/>
      </rPr>
      <t>From</t>
    </r>
    <r>
      <rPr>
        <b/>
        <sz val="28"/>
        <rFont val="Times New Roman"/>
        <family val="1"/>
      </rPr>
      <t xml:space="preserve"> Fuel or Technology 2022 $
Instantaneous (Tankless)</t>
    </r>
  </si>
  <si>
    <t>=SUMPRODUCT(ISNUMBER( SEARCH('13 Space Heating Costs'!$C$7:$AW$7,'12 Space Heating Subcomponents'!H28)) *'13 Space Heating Costs'!$C$11:$AW$11)</t>
  </si>
  <si>
    <t>$C$11:$AW$11</t>
  </si>
  <si>
    <t>Ductwork
PropaneFiredFurnacePermit
GasFiredBoilerDemo
FuelLine
PropaneVentSTD</t>
  </si>
  <si>
    <t>Ductwork
PropaneFiredFurnacePermit
GasFiredBoilerDemo
FuelLine
PropaneVenting</t>
  </si>
  <si>
    <t>Ductwork
PropaneFiredFurnacePermit
GasFiredBoilerDemo
FuelLine
PropaneVentPVC</t>
  </si>
  <si>
    <t>ElectricalLine120V
GasLine
GroundSourceHeatDemo
GasFiredFurnacesPermit
NaturalGasFurnaceVenting</t>
  </si>
  <si>
    <t>FuelLine
OilFiredFurnacesPermit
GroundSourceHeatDemo
OilFurnacesVenting
ElectricalLine120V</t>
  </si>
  <si>
    <t>PipingandHydronicSystem
GroundSourceHeatDemo
GasLine
NaturalGasBoilerVenting
GasFiredBoilersPermit
ElectricalLine120V
DuctClosure</t>
  </si>
  <si>
    <t>FuelLine
OilFiredBoilersPermit
GroundSourceHeatDemo
OilBoilersVenting
PipingandHydronicSystem
ElectricalLine120V</t>
  </si>
  <si>
    <t>GroundSourceHeatDemo
ElectricResistanceFurnacesPermit
ElectricalLine240V</t>
  </si>
  <si>
    <t>GroundSourceHeatDemo
ElectricalLine240V
ElectricResistanceUnitHeatersPermit
DuctClosure</t>
  </si>
  <si>
    <t xml:space="preserve">GroundSourceHeatDemo
Air-SourceHeatPumpsPermit
</t>
  </si>
  <si>
    <t>GroundSourceHeatDemo
Mini-SplitHeatPumpPermit
DuctClosure
AirHandlerConnections
ElectricalLine120V</t>
  </si>
  <si>
    <t>FuelLine
PropaneFiredFurnacePermit
GroundSourceHeatDemo
PropaneVenting
ElectricalLine120V</t>
  </si>
  <si>
    <t xml:space="preserve">GroundSourceHeatDemo
WoodStoveVenting
WoodStovePermit
</t>
  </si>
  <si>
    <t>ElectricalLine120V
GasLine
GroundSourceHeatDemo
GasFiredFurnacesPermit
NaturalGasFurnaceVentPVC</t>
  </si>
  <si>
    <t>FuelLine
OilFiredFurnacesPermit
GroundSourceHeatDemo
OilFurnacesVentPVC
ElectricalLine120V</t>
  </si>
  <si>
    <t>PipingandHydronicSystem
GroundSourceHeatDemo
GasLine
NaturalGasBoilersVentPVC
GasFiredBoilersPermit
ElectricalLine120V
DuctClosure</t>
  </si>
  <si>
    <t>FuelLine
OilFiredBoilersPermit
GroundSourceHeatDemo
OilBoilersVentPVC
PipingandHydronicSystem
ElectricalLine120V</t>
  </si>
  <si>
    <t>FuelLine
PropaneFiredFurnacePermit
GroundSourceHeatDemo
PropaneVentPVC
ElectricalLine120V</t>
  </si>
  <si>
    <t>ElectricalLine120V
GasLine
GroundSourceHeatDemo
GasFiredFurnacesPermit
NaturalGasFurnaceVentSTD</t>
  </si>
  <si>
    <t>FuelLine
OilFiredFurnacesPermit
GroundSourceHeatDemo
OilFurnacesVentSTD
ElectricalLine120V</t>
  </si>
  <si>
    <t>PipingandHydronicSystem
GroundSourceHeatDemo
GasLine
NaturalGasBoilersVentSTD
GasFiredBoilersPermit
ElectricalLine120V
DuctClosure</t>
  </si>
  <si>
    <t>FuelLine
OilFiredBoilersPermit
GroundSourceHeatDemo
OilBoilersVentSTD
PipingandHydronicSystem
ElectricalLine120V</t>
  </si>
  <si>
    <t>FuelLine
PropaneFiredFurnacePermit
GroundSourceHeatDemo
PropaneVentSTD
ElectricalLine120V</t>
  </si>
  <si>
    <t>MiniSplitHeatDemo
NaturalGasFurnaceVenting
GasFiredFurnacesPermit
GasLine
ElectricalLine120V
Ductwork</t>
  </si>
  <si>
    <t>FuelLine
Ductwork
OilFiredFurnacesPermit
MiniSplitHeatDemo
OilFurnacesVenting
ElectricalLine120V</t>
  </si>
  <si>
    <t>PipingandHydronicSystem
MiniSplitHeatDemo
NaturalGasBoilerVenting
GasFiredBoilersPermit
ElectricalLine120V
GasLine</t>
  </si>
  <si>
    <t>MiniSplitHeatDemo
ElectricResistanceFurnacesPermit
ElectricalLine240V
Ductwork</t>
  </si>
  <si>
    <t xml:space="preserve">MiniSplitHeatDemo
ElectricResistanceUnitHeatersPermit
ElectricalLine240V
</t>
  </si>
  <si>
    <t>MiniSplitHeatDemo
Air-SourceHeatPumpsPermit
Ductwork</t>
  </si>
  <si>
    <t>MiniSplitHeatDemo
Ground-SourceHeatPumpPermit
Ductwork
HorizontalLoopSystem</t>
  </si>
  <si>
    <t>FuelLine
Ductwork
PropaneFiredFurnacePermit
MiniSplitHeatDemo
PropaneVenting
ElectricalLine120V</t>
  </si>
  <si>
    <t xml:space="preserve">MiniSplitHeatDemo
WoodStoveVenting
WoodStovePermit
</t>
  </si>
  <si>
    <t>MiniSplitHeatDemo
NaturalGasFurnaceVentPVC
GasFiredFurnacesPermit
GasLine
ElectricalLine120V
Ductwork</t>
  </si>
  <si>
    <t>FuelLine
Ductwork
OilFiredFurnacesPermit
MiniSplitHeatDemo
OilFurnacesVentPVC
ElectricalLine120V</t>
  </si>
  <si>
    <t>PipingandHydronicSystem
MiniSplitHeatDemo
NaturalGasBoilersVentPVC
GasFiredBoilersPermit
ElectricalLine120V
GasLine</t>
  </si>
  <si>
    <t>FuelLine
Ductwork
PropaneFiredFurnacePermit
MiniSplitHeatDemo
PropaneVentPVC
ElectricalLine120V</t>
  </si>
  <si>
    <t>MiniSplitHeatDemo
NaturalGasFurnaceVentSTD
GasFiredFurnacesPermit
GasLine
ElectricalLine120V
Ductwork</t>
  </si>
  <si>
    <t>FuelLine
Ductwork
OilFiredFurnacesPermit
MiniSplitHeatDemo
OilFurnacesVentSTD
ElectricalLine120V</t>
  </si>
  <si>
    <t>PipingandHydronicSystem
MiniSplitHeatDemo
NaturalGasBoilersVentSTD
GasFiredBoilersPermit
ElectricalLine120V
GasLine</t>
  </si>
  <si>
    <t>FuelLine
Ductwork
PropaneFiredFurnacePermit
MiniSplitHeatDemo
PropaneVentSTD
ElectricalLine120V</t>
  </si>
  <si>
    <t>OilFurnacesVenting</t>
  </si>
  <si>
    <t>PipingandHydronicSystem
AirSourceHeatPumpDemo
GasFiredBoilersPermit
NaturalGasBoilerVenting
ElectricalLine120V
DuctClosure
GasLine</t>
  </si>
  <si>
    <t>PropaneFiredFurnaceDemo
NaturalGasFurnaceVentPVC
GasFiredFurnacesPermit
GasLine</t>
  </si>
  <si>
    <t>PipingandHydronicSystem
AirSourceHeatPumpDemo
GasFiredBoilersPermit
NaturalGasBoilersVentPVC
ElectricalLine120V
DuctClosure
GasLine</t>
  </si>
  <si>
    <t>PropaneFiredFurnaceDemo
NaturalGasFurnaceVentSTD
GasFiredFurnacesPermit
GasLine</t>
  </si>
  <si>
    <t>PipingandHydronicSystem
AirSourceHeatPumpDemo
GasFiredBoilersPermit
NaturalGasBoilersVentSTD
ElectricalLine120V
DuctClosure
GasLine</t>
  </si>
  <si>
    <t>PropaneFiredFurnaceDemo
NaturalGasFurnaceVenting
GasFiredFurnacesPermit
GasLine</t>
  </si>
  <si>
    <t xml:space="preserve">FuelLine
OilFiredBoilersPermit
PipingandHydronicSystem
GasFiredFurnaceDemo
OilBoilersVenting
DuctClosure
</t>
  </si>
  <si>
    <t>Ventilation Modifications Costs (Optional)</t>
  </si>
  <si>
    <t>WoodStoveDemo
NaturalGasFurnaceVenting
GasFiredFurnacesPermit
GasLine
Ductwork
ElectricalLine120V</t>
  </si>
  <si>
    <t>WoodStoveDemo
OilFiredFurnacesPermit
FuelLine
ElectricalLine120V
OilFurnacesVenting</t>
  </si>
  <si>
    <t>WoodStoveDemo
NaturalGasBoilerVenting
GasFiredBoilersPermit
GasLine
Ductwork
ElectricalLine120V
PipingandHydronicSystem</t>
  </si>
  <si>
    <t>WoodStoveDemo
OilBoilersVenting
OilFiredBoilersPermit
FuelLine
ElectricalLine120V
PipingandHydronicSystem</t>
  </si>
  <si>
    <t>WoodStoveDemo
Mini-SplitHeatPumpPermit
AirHandlerConnections
ElectricalLine120V
ElectricalLine240V</t>
  </si>
  <si>
    <t>WoodStoveDemo
PropaneVenting
PropaneFiredFurnacePermit
FuelLine
Ductwork
ElectricalLine120V</t>
  </si>
  <si>
    <t>WoodStoveDemo
NaturalGasFurnaceVentPVC
GasFiredFurnacesPermit
GasLine
Ductwork
ElectricalLine120V</t>
  </si>
  <si>
    <t>WoodStoveDemo
Venting
OilFiredFurnacesPermit
FuelLine
ElectricalLine120V
OilFurnacesVentPVC</t>
  </si>
  <si>
    <t>WoodStoveDemo
NaturalGasBoilersVentPVC
GasFiredBoilersPermit
GasLine
Ductwork
ElectricalLine120V
PipingandHydronicSystem</t>
  </si>
  <si>
    <t>WoodStoveDemo
OilBoilersVentPVC
OilFiredBoilersPermit
FuelLine
ElectricalLine120V
PipingandHydronicSystem</t>
  </si>
  <si>
    <t>WoodStoveDemo
PropaneVentPVC
PropaneFiredFurnacePermit
FuelLine
Ductwork
ElectricalLine120V</t>
  </si>
  <si>
    <t>WoodStoveDemo
NaturalGasFurnaceVentSTD
GasFiredFurnacesPermit
GasLine
Ductwork
ElectricalLine120V</t>
  </si>
  <si>
    <t>WoodStoveDemo
Venting
OilFiredFurnacesPermit
FuelLine
ElectricalLine120V
OilFurnacesVentSTD</t>
  </si>
  <si>
    <t>WoodStoveDemo
NaturalGasBoilersVentSTD
GasFiredBoilersPermit
GasLine
Ductwork
ElectricalLine120V
PipingandHydronicSystem</t>
  </si>
  <si>
    <t>WoodStoveDemo
OilBoilersVentSTD
OilFiredBoilersPermit
FuelLine
ElectricalLine120V
PipingandHydronicSystem</t>
  </si>
  <si>
    <t>WoodStoveDemo
PropaneVentSTD
PropaneFiredFurnacePermit
FuelLine
Ductwork
ElectricalLine120V</t>
  </si>
  <si>
    <t xml:space="preserve">https://www.angi.com/articles/how-much-would-it-cost-have-Plumber-cap-gas-line-was-going-gas-dryer.htm </t>
  </si>
  <si>
    <t>Permit - Gas
Permit - HVAC
Gas Line Installation
PropaneInstVentAVE
Electrical Line 120V
Permit  - Electrical</t>
  </si>
  <si>
    <t>Permit - Gas
Permit - HVAC
Capping Oil
PropaneInstVentAVE
Gas Line Installation</t>
  </si>
  <si>
    <t>Permit - Gas
Permit - HVAC
Gas Line Installation
PropaneInstVentAVE
Capping Gas Line</t>
  </si>
  <si>
    <t>Permit - Gas
Permit - HVAC
Gas Line Installation
PropaneInstVentPVC
Electrical Line 120V
Permit  - Electrical</t>
  </si>
  <si>
    <t>Permit - Gas
Permit - HVAC
Capping Oil
PropaneInstVentPVC
Gas Line Installation</t>
  </si>
  <si>
    <t>Permit - Gas
Permit - HVAC
Gas Line Installation
PropaneInstVentPVC
Capping Gas Line</t>
  </si>
  <si>
    <t>Permit - Gas
Permit - HVAC
Gas Line Installation
PropaneInstVentSTD
Electrical Line 120V
Permit  - Electrical</t>
  </si>
  <si>
    <t>Permit - Gas
Permit - HVAC
Capping Oil
PropaneInstVentSTD
Gas Line Installation</t>
  </si>
  <si>
    <t>Permit - Gas
Permit - HVAC
Gas Line Installation
PropaneInstVentSTD
Capping Gas Line</t>
  </si>
  <si>
    <r>
      <t xml:space="preserve">Residential </t>
    </r>
    <r>
      <rPr>
        <b/>
        <u/>
        <sz val="36"/>
        <color theme="0"/>
        <rFont val="Times New Roman"/>
        <family val="1"/>
      </rPr>
      <t>Space Heating</t>
    </r>
    <r>
      <rPr>
        <b/>
        <sz val="36"/>
        <color theme="0"/>
        <rFont val="Times New Roman"/>
        <family val="1"/>
      </rPr>
      <t xml:space="preserve"> Switching Costs: Standard Fuels and Technologies
Including Switching Costs From a Non-Existent or Standard-Efficiency (B-Vent) to a High-Efficiency (Condensing) Direct Vent</t>
    </r>
  </si>
  <si>
    <r>
      <t xml:space="preserve">Residential </t>
    </r>
    <r>
      <rPr>
        <b/>
        <u/>
        <sz val="36"/>
        <color theme="0"/>
        <rFont val="Times New Roman"/>
        <family val="1"/>
      </rPr>
      <t>Space Heating</t>
    </r>
    <r>
      <rPr>
        <b/>
        <sz val="36"/>
        <color theme="0"/>
        <rFont val="Times New Roman"/>
        <family val="1"/>
      </rPr>
      <t xml:space="preserve"> Switching Costs: Standard Fuels and Technologies
Including Switching Costs From Non-Existent or High-Efficiency (Condensing) Direct Vent to a Standard-Efficiency (B-Vent)</t>
    </r>
  </si>
  <si>
    <r>
      <t xml:space="preserve">Residential </t>
    </r>
    <r>
      <rPr>
        <b/>
        <u/>
        <sz val="36"/>
        <color theme="0"/>
        <rFont val="Times New Roman"/>
        <family val="1"/>
      </rPr>
      <t>Water Heating</t>
    </r>
    <r>
      <rPr>
        <b/>
        <sz val="36"/>
        <color theme="0"/>
        <rFont val="Times New Roman"/>
        <family val="1"/>
      </rPr>
      <t xml:space="preserve"> Switching Costs: Standard Fuels and Technologies
Switching from Tank Systems to Instantaneous (Tankless) Water Heaters
Including Average Venting</t>
    </r>
  </si>
  <si>
    <r>
      <t xml:space="preserve">Residential </t>
    </r>
    <r>
      <rPr>
        <b/>
        <u/>
        <sz val="36"/>
        <color theme="0"/>
        <rFont val="Times New Roman"/>
        <family val="1"/>
      </rPr>
      <t>Water Heating</t>
    </r>
    <r>
      <rPr>
        <b/>
        <sz val="36"/>
        <color theme="0"/>
        <rFont val="Times New Roman"/>
        <family val="1"/>
      </rPr>
      <t xml:space="preserve"> Switching Costs: Standard Fuels and Technologies
Switching from Tank Systems to Instantaneous (Tankless) Water Heaters
Including Switching From a Non-Existent or Standard-Efficiency B-Vent to a High-Efficiency Direct Vent</t>
    </r>
  </si>
  <si>
    <r>
      <t xml:space="preserve">Residential </t>
    </r>
    <r>
      <rPr>
        <b/>
        <u/>
        <sz val="36"/>
        <color theme="0"/>
        <rFont val="Times New Roman"/>
        <family val="1"/>
      </rPr>
      <t>Water Heating</t>
    </r>
    <r>
      <rPr>
        <b/>
        <sz val="36"/>
        <color theme="0"/>
        <rFont val="Times New Roman"/>
        <family val="1"/>
      </rPr>
      <t xml:space="preserve"> Switching Costs: Standard Fuels and Technologies
Switching with Tank Systems to Alternate Fuels
Including Switching From a Non-Existent or Standard-Efficiency B-Vent to a High-Efficiency Direct Vent</t>
    </r>
  </si>
  <si>
    <r>
      <t xml:space="preserve">Residential </t>
    </r>
    <r>
      <rPr>
        <b/>
        <u/>
        <sz val="36"/>
        <color theme="0"/>
        <rFont val="Times New Roman"/>
        <family val="1"/>
      </rPr>
      <t>Water Heating</t>
    </r>
    <r>
      <rPr>
        <b/>
        <sz val="36"/>
        <color theme="0"/>
        <rFont val="Times New Roman"/>
        <family val="1"/>
      </rPr>
      <t xml:space="preserve"> Switching Costs: Standard Fuels and Technologies
Switching with Tank Systems to Alternate Fuels
Including Average Venting</t>
    </r>
  </si>
  <si>
    <r>
      <t xml:space="preserve">Residential </t>
    </r>
    <r>
      <rPr>
        <b/>
        <u/>
        <sz val="36"/>
        <color theme="0"/>
        <rFont val="Times New Roman"/>
        <family val="1"/>
      </rPr>
      <t>Clothes Drying</t>
    </r>
    <r>
      <rPr>
        <b/>
        <sz val="36"/>
        <color theme="0"/>
        <rFont val="Times New Roman"/>
        <family val="1"/>
      </rPr>
      <t xml:space="preserve"> Switching Costs: Standard Fuels and Technologies</t>
    </r>
  </si>
  <si>
    <r>
      <t xml:space="preserve">Residential </t>
    </r>
    <r>
      <rPr>
        <b/>
        <u/>
        <sz val="36"/>
        <color theme="0"/>
        <rFont val="Times New Roman"/>
        <family val="1"/>
      </rPr>
      <t>Water Heating</t>
    </r>
    <r>
      <rPr>
        <b/>
        <sz val="36"/>
        <color theme="0"/>
        <rFont val="Times New Roman"/>
        <family val="1"/>
      </rPr>
      <t xml:space="preserve"> Switching Costs: Standard Fuels and Technologies
Switching from Tank Systems to Instantaneous (Tankless) Water Heaters
Including Switching From a Non-Existent or High-Efficiency Direct Vent to a Standard-Efficiency B-Vent</t>
    </r>
  </si>
  <si>
    <r>
      <t xml:space="preserve">Residential </t>
    </r>
    <r>
      <rPr>
        <b/>
        <u/>
        <sz val="36"/>
        <color theme="0"/>
        <rFont val="Times New Roman"/>
        <family val="1"/>
      </rPr>
      <t>Water Heating</t>
    </r>
    <r>
      <rPr>
        <b/>
        <sz val="36"/>
        <color theme="0"/>
        <rFont val="Times New Roman"/>
        <family val="1"/>
      </rPr>
      <t xml:space="preserve"> Switching Costs: Standard Fuels and Technologies
Switching with Tank Systems to Alternate Fuels
Including Switching From a Non-Existent or High-Efficiency Direct Vent to a Standard-Efficiency B-Vent</t>
    </r>
  </si>
  <si>
    <r>
      <t xml:space="preserve">Residential </t>
    </r>
    <r>
      <rPr>
        <b/>
        <u/>
        <sz val="36"/>
        <color theme="0"/>
        <rFont val="Times New Roman"/>
        <family val="1"/>
      </rPr>
      <t>Water Heating</t>
    </r>
    <r>
      <rPr>
        <b/>
        <sz val="36"/>
        <color theme="0"/>
        <rFont val="Times New Roman"/>
        <family val="1"/>
      </rPr>
      <t xml:space="preserve"> Switching Costs: Standard Fuels and Technologies
Switching from Tank Systems to Instantaneous (Tankless) Water Heaters
Including Switching From a Non-Existant or High-Efficiency Direct Vent to a Standard-Efficiency B-Vent</t>
    </r>
  </si>
  <si>
    <r>
      <t xml:space="preserve">Residential </t>
    </r>
    <r>
      <rPr>
        <b/>
        <u/>
        <sz val="36"/>
        <color theme="0"/>
        <rFont val="Times New Roman"/>
        <family val="1"/>
      </rPr>
      <t>Water Heating</t>
    </r>
    <r>
      <rPr>
        <b/>
        <sz val="36"/>
        <color theme="0"/>
        <rFont val="Times New Roman"/>
        <family val="1"/>
      </rPr>
      <t xml:space="preserve"> Switching Costs: Standard Fuels and Technologies
Switching with Tank Systems to Alternate Fuels
Including Switching From a Non-Existant or High-Efficiency Direct Vent to a Standard-Efficiency B-Vent</t>
    </r>
  </si>
  <si>
    <t>Ventilation Modifications (Optional)</t>
  </si>
  <si>
    <t>Oil Tank Cost Standard Installation (Optional)</t>
  </si>
  <si>
    <t>Propane Furnace Venting</t>
  </si>
  <si>
    <t>Air Handler Connections - Refrigerant Distribution &amp; Drain Line Costs</t>
  </si>
  <si>
    <t>Materials Total</t>
  </si>
  <si>
    <t>Permit - Gas
OilVentAVE
Electrical Line 120V
Permit  - Electrical
Permit - HVAC
Fuel Line Extension</t>
  </si>
  <si>
    <t>Permit - Gas
Permit - HVAC
Capping Propane
OilVentAVE
Fuel Line Extension</t>
  </si>
  <si>
    <t>Permit - Gas
Permit - HVAC
OilVentAVE
Capping Gas Line
Fuel Line Extension</t>
  </si>
  <si>
    <t>Permit - Gas
Permit - HVAC
OilVentAVE
Fuel Line Extension
Electrical Line 120V
Permit  - Electrical</t>
  </si>
  <si>
    <t>Permit - Gas
OilVentPVC
Electrical Line 120V
Permit  - Electrical
Permit - HVAC
Fuel Line Extension</t>
  </si>
  <si>
    <t>Permit - Gas
Permit - HVAC
Capping Propane
OilVentPVC
Fuel Line Extension</t>
  </si>
  <si>
    <t>Permit - Gas
Permit - HVAC
OilVentPVC
Capping Gas Line
Fuel Line Extension</t>
  </si>
  <si>
    <t>Permit - Gas
Permit - HVAC
OilVentPVC
Fuel Line Extension
Electrical Line 120V
Permit  - Electrical</t>
  </si>
  <si>
    <t>Permit - Gas
OilVentSTD
Electrical Line 120V
Permit  - Electrical
Permit - HVAC
Fuel Line Extension</t>
  </si>
  <si>
    <t>Permit - Gas
Permit - HVAC
Capping Propane
OilVentSTD
Fuel Line Extension</t>
  </si>
  <si>
    <t>Permit - Gas
Permit - HVAC
OilVentSTD
Capping Gas Line
Fuel Line Extension</t>
  </si>
  <si>
    <t>Permit - Gas
Permit - HVAC
OilVentSTD
Fuel Line Extension
Electrical Line 120V
Permit  - Electrical</t>
  </si>
  <si>
    <t>Permit - Gas
Permit - HVAC
Fuel Line Extension
PropaneTankVentAVE
Electrical Line 120V
Permit  - Electrical</t>
  </si>
  <si>
    <t>Permit - Gas
Permit - HVAC
Capping Oil
PropaneTankVentAVE
Fuel Line Extension</t>
  </si>
  <si>
    <t>Permit - Gas
Permit - HVAC
Fuel Line Extension
PropaneTankVentAVE
Capping Gas Line</t>
  </si>
  <si>
    <t>Permit - Gas
Permit - HVAC
Fuel Line Extension
PropaneTankVentPVC
Electrical Line 120V
Permit  - Electrical</t>
  </si>
  <si>
    <t>Permit - Gas
Permit - HVAC
Capping Oil
PropaneTankVentPVC
Fuel Line Extension</t>
  </si>
  <si>
    <t>Permit - Gas
Permit - HVAC
Fuel Line Extension
PropaneTankVentPVC
Capping Gas Line</t>
  </si>
  <si>
    <t>Permit - Gas
Permit - HVAC
Fuel Line Extension
PropaneTankVentSTD
Electrical Line 120V
Permit  - Electrical</t>
  </si>
  <si>
    <t>Permit - Gas
Permit - HVAC
Capping Oil
PropaneTankVentSTD
Fuel Line Extension</t>
  </si>
  <si>
    <t>Permit - Gas
Permit - HVAC
Fuel Line Extension
PropaneTankVentSTD
Capping Gas Line</t>
  </si>
  <si>
    <t>Permit - Gas
Permit - HVAC
Fuel Line Extension
GasTankVentAVE
Electrical Line 120V
Permit  - Electrical</t>
  </si>
  <si>
    <t>Permit - Gas
Permit - HVAC
Fuel Line Extension
GasTankVentAVE
Capping Oil</t>
  </si>
  <si>
    <t>Permit - Gas
Permit - HVAC
Fuel Line Extension
GasTankVentAVE
Capping Propane</t>
  </si>
  <si>
    <t>Permit - Gas
Permit - HVAC
Fuel Line Extension
GasTankVentPVC
Electrical Line 120V
Permit  - Electrical</t>
  </si>
  <si>
    <t>Permit - Gas
Permit - HVAC
Fuel Line Extension
GasTankVentPVC
Capping Oil</t>
  </si>
  <si>
    <t>Permit - Gas
Permit - HVAC
Fuel Line Extension
GasTankVentPVC
Capping Propane</t>
  </si>
  <si>
    <t>Permit - Gas
Permit - HVAC
Fuel Line Extension
GasTankVentSTD
Electrical Line 120V
Permit  - Electrical</t>
  </si>
  <si>
    <t>Permit - Gas
Permit - HVAC
Fuel Line Extension
GasTankVentSTD
Capping Oil</t>
  </si>
  <si>
    <t>Permit - Gas
Permit - HVAC
Fuel Line Extension
GasTankVentSTD
Capping Propane</t>
  </si>
  <si>
    <t>Fuel Line Extension</t>
  </si>
  <si>
    <t>PropaneInstVentAVE
Permit - HVAC
Fuel Line Extension</t>
  </si>
  <si>
    <t>PropaneInstVentPVC
Permit - HVAC
Fuel Line Extension</t>
  </si>
  <si>
    <t>PropaneInstVentSTD
Permit - HVAC
Fuel Line Extension</t>
  </si>
  <si>
    <t>Fuel Line Extension
GasInstVentAVE
Permit - HVAC</t>
  </si>
  <si>
    <t>Fuel Line Extension
GasInstVentPVC
Permit - HVAC</t>
  </si>
  <si>
    <t>Fuel Line Extension
GasInstVentSTD
Permit - HVAC</t>
  </si>
  <si>
    <t>Hourly Weighted Census Divisional Average Wages
by Employment 2023</t>
  </si>
  <si>
    <t>2022 Excavating Weighted Mean Wage /Hour</t>
  </si>
  <si>
    <t>Excavating Weighted Mean Wage /Hour</t>
  </si>
  <si>
    <t>FuelLine
OilFiredFurnacesPermit
GasFiredFurnaceDemo
OilFurnacesVenting</t>
  </si>
  <si>
    <t>FuelLine
OilFiredFurnacesPermit
GasFiredFurnaceDemo
OilFurnacesVentPVC</t>
  </si>
  <si>
    <t>FuelLine
OilFiredFurnacesPermit
GasFiredFurnaceDemo
OilFurnacesVentSTD</t>
  </si>
  <si>
    <t>FuelLine
PropaneFiredFurnacePermit
GasFiredFurnaceDemo
PropaneVentSTD</t>
  </si>
  <si>
    <t>FuelLine
PropaneFiredFurnacePermit
GasFiredFurnaceDemo
PropaneVentPVC</t>
  </si>
  <si>
    <t>FuelLine
PropaneFiredFurnacePermit
GasFiredFurnaceDemo
PropaneVenting</t>
  </si>
  <si>
    <t>OilFiredFurnacesPermit
PropaneFiredFurnaceDemo
OilFurnacesVenting
FuelLine</t>
  </si>
  <si>
    <t>WoodStoveDemo
ElectricResistanceFurnacesPermit
Ductwork</t>
  </si>
  <si>
    <t>WoodStoveDemo
ElectricResistanceUnitHeatersPermit
ElectricalLine240V</t>
  </si>
  <si>
    <t>WoodStoveDemo
Air-SourceHeatPumpsPermit
Ductwork</t>
  </si>
  <si>
    <t>OilFiredFurnacesPermit
PropaneFiredFurnaceDemo
OilFurnacesVentPVC
FuelLine</t>
  </si>
  <si>
    <t>OilFiredFurnacesPermit
PropaneFiredFurnaceDemo
OilFurnacesVentSTD
FuelLine</t>
  </si>
  <si>
    <t>WoodStoveDemo
Ground-SourceHeatPumpPermit
ElectricalLine120V
HorizontalLoopSystem</t>
  </si>
  <si>
    <t xml:space="preserve">http://digtheheat.com/geothermal_heatpumps/loopconfigurations.html </t>
  </si>
  <si>
    <t xml:space="preserve">https://www.angi.com/articles/trenching-cost.htm </t>
  </si>
  <si>
    <t>Trenching per 100 feet</t>
  </si>
  <si>
    <t xml:space="preserve">660 Feet @ 2 per trench = 330 feet </t>
  </si>
  <si>
    <t xml:space="preserve">https://www.energy.gov/energysaver/geothermal-heat-pumps </t>
  </si>
  <si>
    <t>FuelLine
OilFiredBoilersPermit
MiniSplitHeatDemo
OilBoilersVenting
PipingandHydronicSystem
ElectricalLine120V</t>
  </si>
  <si>
    <t>FuelLine
OilFiredBoilersPermit
MiniSplitHeatDemo
OilBoilersVentPVC
PipingandHydronicSystem
ElectricalLine120V</t>
  </si>
  <si>
    <t>FuelLine
OilFiredBoilersPermit
MiniSplitHeatDemo
OilBoilersVentSTD
PipingandHydronicSystem
ElectricalLine120V</t>
  </si>
  <si>
    <t>AirSourceHeatPumpDemo
Mini-SplitHeatPumpPermit
DuctClosure
AirHandlerConnections
ElectricalLine120V</t>
  </si>
  <si>
    <t>Gas Permit</t>
  </si>
  <si>
    <t>Fuel Line
Gas Permit</t>
  </si>
  <si>
    <t>Fuel Line
Gas Permit
Capping Propane</t>
  </si>
  <si>
    <t xml:space="preserve">Fuel Line
Gas Permit
</t>
  </si>
  <si>
    <t xml:space="preserve">Range </t>
  </si>
  <si>
    <t>HVAC
Index</t>
  </si>
  <si>
    <t>Electrician
Index</t>
  </si>
  <si>
    <t>Plumber
Index</t>
  </si>
  <si>
    <t>Labor Index from National Average</t>
  </si>
  <si>
    <t xml:space="preserve">National Average x  Census Division Labor Index </t>
  </si>
  <si>
    <t>Subsystem Installation Cost Formulas</t>
  </si>
  <si>
    <t>*</t>
  </si>
  <si>
    <t>Flat fees, such as permits, do not include labor or material costs and are accounted for separately</t>
  </si>
  <si>
    <t>All applicable labor and material costs are included and accounted for elsewhere in this workbook</t>
  </si>
  <si>
    <t xml:space="preserve">Fuel Line
Gas Permit
Capping Gas Line
</t>
  </si>
  <si>
    <t>PermElectrical
Capping Gas Line
Electrical Line 240V</t>
  </si>
  <si>
    <t>PermElectrical</t>
  </si>
  <si>
    <t>PermElectrical
Electrical Line 240V
Capping Propane</t>
  </si>
  <si>
    <t>PermElectrical
Electrical Line 240V
Vent Closure
Capping Propane</t>
  </si>
  <si>
    <t>PermGas</t>
  </si>
  <si>
    <t>Conversion Kit
PermGas
Capping Gas Line
Fuel Line</t>
  </si>
  <si>
    <t>Fuel Line
PermGas
Capping Propane</t>
  </si>
  <si>
    <t>Fuel Line
PermGas</t>
  </si>
  <si>
    <t>PermElectrical
PermGas
Vent Closure
Capping Gas Line
Electrical Line 240V</t>
  </si>
  <si>
    <t>Electrical Line 240V
PermElectrical
Capping Gas Line</t>
  </si>
  <si>
    <t>Electrical Line 240V
PermElectrical
Capping Propane</t>
  </si>
  <si>
    <r>
      <t xml:space="preserve">Residential </t>
    </r>
    <r>
      <rPr>
        <b/>
        <u/>
        <sz val="36"/>
        <color theme="0"/>
        <rFont val="Times New Roman"/>
        <family val="1"/>
      </rPr>
      <t>Space Heating</t>
    </r>
    <r>
      <rPr>
        <b/>
        <sz val="36"/>
        <color theme="0"/>
        <rFont val="Times New Roman"/>
        <family val="1"/>
      </rPr>
      <t xml:space="preserve"> Switching Components: Standard Fuels and Technologies
Including Average Venting Switching Costs</t>
    </r>
  </si>
  <si>
    <t>Aggregated Component Costs by Census Division</t>
  </si>
  <si>
    <t>New England Residential Fuel Switching Costs</t>
  </si>
  <si>
    <t>Middle Atlantic Residential Fuel Switching Costs</t>
  </si>
  <si>
    <t>East North Central Residential Fuel Switching Costs</t>
  </si>
  <si>
    <t>West North Central Residential Fuel Switching Costs</t>
  </si>
  <si>
    <t>South Atlantic Residential Fuel Switching Costs</t>
  </si>
  <si>
    <t>East South Central Residential Fuel Switching Costs</t>
  </si>
  <si>
    <t>West South Central Residential Fuel Switching Costs</t>
  </si>
  <si>
    <t>Mountain Residential Fuel Switching Costs</t>
  </si>
  <si>
    <t>Pacific Residential Fuel Switching Costs</t>
  </si>
  <si>
    <t>Decommissioning of Oil and Propane tanks covered in Heating Detailed Costs.
Decommissioning costs here cover capping lines and disconnection.</t>
  </si>
  <si>
    <t>Residential Water Heating Switching Components: Standard Fuels and Technologies
Switching from Tank Systems to Instantaneous (Tankless) Water Heaters
Including Average Venting</t>
  </si>
  <si>
    <t>Residential Water Heating Switching Components: Standard Fuels and Technologies
Switching from Tank Systems to Instantaneous (Tankless) Water Heaters
Including Switching From a Non-Existent or Standard-Efficiency B-Vent to a High-Efficiency Direct Vent</t>
  </si>
  <si>
    <t>Residential Water Heating Switching Components: Standard Fuels and Technologies
Switching from Tank Systems to Instantaneous (Tankless) Water Heaters
Including Switching From a Non-Existent or High-Efficiency Direct Vent to a Standard-Efficiency B-Vent</t>
  </si>
  <si>
    <t>Residential Water Heating Switching Components: Standard Fuels and Technologies
Switching with Tank Systems to Alternate Fuels
Including Average Venting</t>
  </si>
  <si>
    <t>Residential Water Heating Switching Components: Standard Fuels and Technologies
Switching with Tank Systems to Alternate Fuels
Including Switching From a Non-Existent or Standard-Efficiency B-Vent to a High-Efficiency Direct Vent</t>
  </si>
  <si>
    <t>Residential Water Heating Switching Components: Standard Fuels and Technologies
Switching with Tank Systems to Alternate Fuels
Including Switching From a Non-Existent or High-Efficiency Direct Vent to a Standard-Efficiency B-Vent</t>
  </si>
  <si>
    <t>Residential Water Heating Switching Components: Standard Fuels and Technologies
Switching with to Instantaneous (Tankless) to Alternate Fuels
Including Average Venting</t>
  </si>
  <si>
    <t>Residential Water Heating Switching Components: Standard Fuels and Technologies
Switching with to Instantaneous (Tankless) to Alternate Fuels
Including Switching From a Non-Existent or Standard-Efficiency B-Vent to a High-Efficiency Direct Vent</t>
  </si>
  <si>
    <t>Residential Water Heating Switching Components: Standard Fuels and Technologies
Switching with to Instantaneous (Tankless) to Alternate Fuels
Including Switching From a Non-Existent or High-Efficiency Direct Vent to a Standard-Efficiency B-Vent</t>
  </si>
  <si>
    <t>Residential Cooking Switching Components:
Standard Fuels and Technologies</t>
  </si>
  <si>
    <t>Residential Clothes Drying Switching Components:
Standard Fuels and Technologies</t>
  </si>
  <si>
    <r>
      <rPr>
        <i/>
        <sz val="11"/>
        <color theme="1"/>
        <rFont val="Times New Roman"/>
        <family val="1"/>
      </rPr>
      <t>Note</t>
    </r>
    <r>
      <rPr>
        <sz val="11"/>
        <color theme="1"/>
        <rFont val="Times New Roman"/>
        <family val="1"/>
      </rPr>
      <t>: Labor hours do not always reflect actual installation time and may sometimes be used as a cost multiplier. To account for labor costs, labor hours were calculated by subtracting material costs from the total average cost. This approach ensures census division labor cost differences are captured and maintains consistency with other cost assumptions and formulas used throughout the analysis.</t>
    </r>
  </si>
  <si>
    <t>Oil tank removal/emptying: $500 to $1,000</t>
  </si>
  <si>
    <t>Low Range</t>
  </si>
  <si>
    <t>High Range</t>
  </si>
  <si>
    <t>Average Cost Per Component</t>
  </si>
  <si>
    <t>Full Demolition (estimated at $2,000 to $4,000) Includes:</t>
  </si>
  <si>
    <t>Old boiler removal : $200 to $500</t>
  </si>
  <si>
    <t>Old boiler removal: $200 to $500</t>
  </si>
  <si>
    <t>Old tank removal:  $400 to $3,400</t>
  </si>
  <si>
    <t>While 120V heat pump dryers are emerging and gaining popularity, they currently represent a small portion of the market. According to Canary Media, as of 2024, heat pump dryers account for about 1% of residential dryer sales, with most being 240V models. Although 120V models are becoming more available, they are generally compact and may not meet the needs of larger households. Even in parts of the U.S. where 120V heat pump dryers account for 10% of sales, their national market penetration remains low.</t>
  </si>
  <si>
    <t>Climate Region Influence</t>
  </si>
  <si>
    <t>Adjustment Based on Climate Region Severity (Average ranges from 1 to 2)</t>
  </si>
  <si>
    <t>Link to Table Used for Weighting</t>
  </si>
  <si>
    <t>https://homeguide.com/costs/heat-pump-cost</t>
  </si>
  <si>
    <t>Mini-Split Air Handler (Head Unit) Unit Removal  $80 to $150</t>
  </si>
  <si>
    <t xml:space="preserve">https://www.angi.com/articles/how-much-does-installing-new-ac-cost.htm </t>
  </si>
  <si>
    <t>Per System</t>
  </si>
  <si>
    <t>Q = Data withheld because either the relative standard error (RSE) was greater than 50% or fewer than 10 households were in the reporting sample.</t>
  </si>
  <si>
    <t>Propane Fired Furnace</t>
  </si>
  <si>
    <t>PermHVAC</t>
  </si>
  <si>
    <t>Venting
Fuel Line
PermHVAC</t>
  </si>
  <si>
    <t>Venting
PermHVAC</t>
  </si>
  <si>
    <t>Fuel Line
PermGas
Venting
PermHVAC</t>
  </si>
  <si>
    <t>Note 4:</t>
  </si>
  <si>
    <t>Note 5:</t>
  </si>
  <si>
    <t>Click here for Note 4</t>
  </si>
  <si>
    <t>Click here for Note 5</t>
  </si>
  <si>
    <t>Households With New Gas Furnaces in 2015</t>
  </si>
  <si>
    <t>"Building America Climate Regions" Climate Influence</t>
  </si>
  <si>
    <t>From the linked sources above, "Building America Climate Regions" and "AIA Climate Zones" climate information were used to estimate South Atlantic and East South Central Census Divisions (at  3 to 4 units of severity rating) and  West South Central (e.g., Texas) (at  2 to 3 severity units due to milder winters).</t>
  </si>
  <si>
    <t>Calculation for Number of Air Handler Units</t>
  </si>
  <si>
    <t>Formula Used: Average Number of Air Handler Units = Base Units × Climate Factor</t>
  </si>
  <si>
    <t>Assumed starting point (e.g., 2 air handler units for small homes).</t>
  </si>
  <si>
    <t>Data from EIA Residential Energy Consumption Survey (RECS) were used to understand regional air conditioning and heating patterns. Colder climates (e.g., New England, Middle Atlantic) were assigned at 3 to 4 severity units for a typical home.</t>
  </si>
  <si>
    <t>National Weighted Average:</t>
  </si>
  <si>
    <t>Descriptions and Details for Mini-Split Air Handler Units Switching Costs</t>
  </si>
  <si>
    <t>Summary of Estimated Calculations of Number of Mini-Split Air Handler Units Needed, by Census Division</t>
  </si>
  <si>
    <t>Number of Air Handler Units (millions)</t>
  </si>
  <si>
    <t>From Table HC7.6 Air conditioning in U.S. homes, by climate region, 2020 (Final data release date: March 2023)</t>
  </si>
  <si>
    <t xml:space="preserve">About 82% of U.S. households using heating oil are located in the Northeast. </t>
  </si>
  <si>
    <t>Angi 2024</t>
  </si>
  <si>
    <t xml:space="preserve"> U.S. Federal Government Offers Tax Credits</t>
  </si>
  <si>
    <t>Tax Credits
Geothermal Heat Pump Systems</t>
  </si>
  <si>
    <t>Similar process to capping natural gas and propane, the cost will be comparable</t>
  </si>
  <si>
    <t>Assumes No Taxes on Markup - Click Here for Notes</t>
  </si>
  <si>
    <t>Labor Cost Per Hour</t>
  </si>
  <si>
    <t>Labor Hours Per Radiator</t>
  </si>
  <si>
    <t>Estimates between 8 and 12 radiators per typical house with more for colder census divisions and less for warmer ones. With ranges from 5 to 15. 10 was used as the average and scaled based on climate</t>
  </si>
  <si>
    <t>$100 to $500</t>
  </si>
  <si>
    <t>$20 to $50 per foot</t>
  </si>
  <si>
    <t>6 to 12 hours</t>
  </si>
  <si>
    <t>$12 to $20 per foot</t>
  </si>
  <si>
    <t>3 to 5 hours</t>
  </si>
  <si>
    <t xml:space="preserve"> $500 to $2,000</t>
  </si>
  <si>
    <t>$1,550 to $6,300</t>
  </si>
  <si>
    <t>$1,000 to $3,300</t>
  </si>
  <si>
    <t>$672 to $2,155</t>
  </si>
  <si>
    <t>0.5 to 2.4 hours per duct</t>
  </si>
  <si>
    <t>$900 to $3,800</t>
  </si>
  <si>
    <t>$300 to $3,500</t>
  </si>
  <si>
    <t>$800 to $2,000</t>
  </si>
  <si>
    <t>$600 to $1,200</t>
  </si>
  <si>
    <t>$50 to $175</t>
  </si>
  <si>
    <t>4 to10 hours</t>
  </si>
  <si>
    <t>120 to 225</t>
  </si>
  <si>
    <t>$1.00 to $3.50 per foot</t>
  </si>
  <si>
    <t>$2 to $5 each</t>
  </si>
  <si>
    <t>$5 to $40 each</t>
  </si>
  <si>
    <t>$6 to $18 each</t>
  </si>
  <si>
    <t>$0.50 to $1.00 per foot</t>
  </si>
  <si>
    <t>30 to 40 foot</t>
  </si>
  <si>
    <t># mini split air handlers per household by census division</t>
  </si>
  <si>
    <t>Most companies will provide, install and maintain a supplier loaned propane tank. Most of the time the gas company will install the tank at no cost or a minimal cost.</t>
  </si>
  <si>
    <t>$260 to $800</t>
  </si>
  <si>
    <t>$50 to $100</t>
  </si>
  <si>
    <t>$30 to $100</t>
  </si>
  <si>
    <t>$270 to $1,300</t>
  </si>
  <si>
    <t>$70 to $150</t>
  </si>
  <si>
    <t>$10 to $20 per linear foot or $45 to $200 per hour
 $200 to $500, Valve &amp; Inspection</t>
  </si>
  <si>
    <t>The cost of installing a vent typically ranges from $140 to $600, but it's crucial for directing the humid, lint-filled air from your dryer to the outdoors. Proper venting helps prevent your laundry room from becoming damp and musty, reduces the risk of fire, and keeps harmful air from circulating. Vents can be made from materials such as aluminum, rigid plastic, or metal.
If a vent is already installed, it can be reused. However, many homeowners choose to replace the vent when installing a gas dryer to avoid the need for a replacement soon after. This is particularly important when switching from an electric dryer to a gas dryer, as gas dryers operate at higher temperatures. It's also a good time to consider alternative venting options that could improve your dryer’s efficiency.</t>
  </si>
  <si>
    <t>The main difference between gas and electric dryers is that gas dryers need a dedicated gas line to operate. Installing this gas line can significantly increase the overall installation cost, usually adding between $260 and $800. To avoid the risk of gas leaks, professional installation is necessary. The cost for installation typically ranges from $10 to $20 per foot of piping or $45 to $200 per hour for labor. Gas dryers also require a shut-off valve to stop the gas supply during maintenance or emergencies. The cost of installing a gas valve for a dryer generally falls between $200 and $500, which includes an inspection to ensure the valve is functioning properly.</t>
  </si>
  <si>
    <t>When upgrading to a new gas dryer, there is often an extra charge for removing the old appliance (separate from the installation fee). The removal process, including disconnecting, disassembling, and hauling away the old dryer, typically takes about an hour and costs between $50 and $100. After the dryer is removed, it must be disposed of according to local regulations. Disposal fees can vary by state, but homeowners generally pay between $20 and $50 for proper disposal.</t>
  </si>
  <si>
    <t>The cost of materials will typically be between $30 and $50 if a gas line is already installed. However, if a new gas line installation is necessary, the price of materials could increase to $100 or more, depending on the length of the line. If the installation requires cutting through drywall, repair costs could exceed $550.</t>
  </si>
  <si>
    <t>The cost of labor will depend on the professional hired and whether the dryer already has a gas line and hookup. Installing a gas dryer typically takes around two hours, with labor costs ranging from $50 to $100 per hour. If a new gas line needs to be installed, it can increase the total cost by an additional $260 to $800.</t>
  </si>
  <si>
    <t>Most gas dryer installation costs are in the range of $760 to $1,650, net of labor and the cost of the dryer. The average cost is approximately $1,140.</t>
  </si>
  <si>
    <t>Already has a gas connection to the home</t>
  </si>
  <si>
    <t xml:space="preserve">No insurance costs </t>
  </si>
  <si>
    <t>The links above are some sources for calculating markups. Industry experts suggest markups for labor costs should be at least 25%, and materials costs should be marked up in the range of 30% to 50%.</t>
  </si>
  <si>
    <t>Adjustments were made to reflect multi-zone benefits for larger homes, with 3 to 4 units in colder climates and 2 to 3 in milder climates.</t>
  </si>
  <si>
    <t>Heat Pump Systems</t>
  </si>
  <si>
    <t>30% for property placed in service after December 31, 2016, and before January 1, 2020.
26% for property placed in service after December 31, 2019, and before January 1, 2022.
30% for property placed in service after December 31, 2021, and before January 1, 2033.
26% for property placed in service after December 31, 2032, and before January 1, 2034.
22% for property placed in service after December 31, 2033, and before January 1, 2035.</t>
  </si>
  <si>
    <t xml:space="preserve">These trends demonstrate a deliberate effort by governments to improve energy efficiency, decrease dependence on fossil fuels, and promote the use of cleaner technologies for household appliances. </t>
  </si>
  <si>
    <t xml:space="preserve">https://www.irs.gov/credits-deductions/energy-efficient-home-improvement-credit </t>
  </si>
  <si>
    <t xml:space="preserve">Note: Ohio exempts labor when it pertains to real property improvements or repairs, as long as it is separately stated. Labor: Not taxed if separately itemized, especially for installation services related to real property.
</t>
  </si>
  <si>
    <t>Note: Pennsylvania typically exempts labor on real property services when itemized apart from materials.
Labor: Not taxed for separately stated installation or repair services related to real property.</t>
  </si>
  <si>
    <t xml:space="preserve">https://www.bls.gov/oes/2022/may/oes_nat.htm </t>
  </si>
  <si>
    <t>See "Markup Notes" tab for details on Markup % assumptions.</t>
  </si>
  <si>
    <t>Assumes Water Connection are nearly Like-in-Kind.</t>
  </si>
  <si>
    <t>Assumes Storage Switching to Storage and Instantaneous to Instantaneous.</t>
  </si>
  <si>
    <t xml:space="preserve">Electricity Fueled Water Heaters assumed to be resistant water heaters. Information on Heat Pump Water Heaters (HPWH) can be found here: </t>
  </si>
  <si>
    <t>240V Costs Detailed Here</t>
  </si>
  <si>
    <t xml:space="preserve"> $500 to $1,000</t>
  </si>
  <si>
    <t>$900 to $2,800</t>
  </si>
  <si>
    <t>4 to 5 hours</t>
  </si>
  <si>
    <t>$670 to $2,000</t>
  </si>
  <si>
    <t>$900 to $4,000</t>
  </si>
  <si>
    <t>$500 to $1,000</t>
  </si>
  <si>
    <t>Note: The costs in I92 through I101 reflect dismantling of a single Mini-Split Air-Handler head unit, including its unique system - specific components and refrigeration connections. The costs in F92 through F101 include the costs of the estimated head units per region and the main heat pump.</t>
  </si>
  <si>
    <t>Assume 6 ducts to remove and patch.</t>
  </si>
  <si>
    <t xml:space="preserve">https://www.homewyse.com/services/cost_to_install_gas_furnace.html </t>
  </si>
  <si>
    <t>If there is central AC, then a new 240V circuit to the outdoor unit is not required unless amperage needs to be increased.</t>
  </si>
  <si>
    <t>If there is electric resistance supplemental heat installed in the air handler then a new 240V circuit would be needed.</t>
  </si>
  <si>
    <t>Cost estimates assume that the previous and new fuel systems are not for one appliance only. The cooking, clothes drying, water heating, and space heating fuels will often be switched together. All estimates are presented in 2022 Dollars.</t>
  </si>
  <si>
    <t>In these cases, the incremental costs associated with switching the clothes dryer fuel are generally minimal. Supply lines and outdoor fuel storage tanks are captured in the heating detailed costs.</t>
  </si>
  <si>
    <t>The costs of connecting fuels to outdoor storage tanks and removing/decommissioning those tanks will be incorporated into heating only.</t>
  </si>
  <si>
    <t>In other cases, the incremental costs of switching the cooking, clothes drying, and water heating fuels will typically be smaller, and those smaller costs are captured.</t>
  </si>
  <si>
    <t>Existing chimneys or flues, if no longer used, are typically abandoned in place.</t>
  </si>
  <si>
    <t>In most cases, ductwork not reused will be closed off instead of removed.</t>
  </si>
  <si>
    <t>Replacement for residential equipment swapping refers to replacing an existing piece of equipment with a new one that is functionally similar in terms of fuel type, technology, and capacity. The key aspects of a like-in-kind replacement include same fuel type and similar technology.</t>
  </si>
  <si>
    <t>To remove a subcomponent cost, remove the item in the subcomponent matrix in the relevant cell.</t>
  </si>
  <si>
    <t>Determine which appliance the subcomponent belongs to.</t>
  </si>
  <si>
    <t>Locate the "Subcomponent Costs by Census Division" table for that appliance.</t>
  </si>
  <si>
    <t>If labor hours and material costs are known: Add them to the relevant cells in the table.</t>
  </si>
  <si>
    <t>Use example formula and change terms as needed.</t>
  </si>
  <si>
    <t>Add the updated equation into the New England row in the new subcomponent column.</t>
  </si>
  <si>
    <t>Left-click on the cell and again on the bottom right corner and drag down to repeat for all of the census divisions and national costs.</t>
  </si>
  <si>
    <t>Reference the average cost from the "General Wages" tab.</t>
  </si>
  <si>
    <t>Multiply the cost by the national index in the "19 General Wages" Tab for the relevant census division for each division required.</t>
  </si>
  <si>
    <t>Add the new cost name to the next available row in the relevant subcomponent matrix cell.</t>
  </si>
  <si>
    <t>Add new rows in the cost matrix to include the newly added costs.</t>
  </si>
  <si>
    <t>In this example, cells C7 through AW7 are all of the subcomponent cost names.</t>
  </si>
  <si>
    <t>In this example, cells C11 through AW11 are all of the subcomponent costs for New England.</t>
  </si>
  <si>
    <t>Adding an upgraded 200 Amp subpanel cost for Space Heating for National Average Costs.</t>
  </si>
  <si>
    <t>In tab "13 Space Heating Costs" add a name such as "PanelUpgrade" in cell AX7.</t>
  </si>
  <si>
    <t>Add the average cost multiplied by the wage index for New England in tab "19 General Wages" (cell T9) into cell AX11.</t>
  </si>
  <si>
    <t>Copy and drag the costs down to the national costs from the bottom right of the cell.</t>
  </si>
  <si>
    <t>Put "PanelUpgrade" in to the next row of the interested Subcomponent matrix cell in tab "12 Space Heating Subcomponents".</t>
  </si>
  <si>
    <t>Update the matching cell in the interested national or census division cost matrix subcomponent name term to include $C$7:AX$7, and the cost term to $C$20:$AX$20.</t>
  </si>
  <si>
    <t>The costs aggregated in the cell will now update.</t>
  </si>
  <si>
    <t>The formula can now be dragged across all of the other cells in the same matrix.</t>
  </si>
  <si>
    <t>For other census divisions, simply change the row number to match the same census division.</t>
  </si>
  <si>
    <t>For National, choose row 20 and change $C$11:$AX$11 to $C$20:$AX$20.</t>
  </si>
  <si>
    <t>In the subcomponent title, give the new cost a short and unique descriptive name.</t>
  </si>
  <si>
    <t xml:space="preserve"> 2022 $</t>
  </si>
  <si>
    <t xml:space="preserve"> 2024 $</t>
  </si>
  <si>
    <t>Labor per hour cost</t>
  </si>
  <si>
    <t>$4,200 to $6,900</t>
  </si>
  <si>
    <t>Old Unit Removal $500 to $1,000</t>
  </si>
  <si>
    <t>Old Condenser Unit Removal $500 to $1,000</t>
  </si>
  <si>
    <t>$500 to $1,500</t>
  </si>
  <si>
    <t>$2,500 to $5,500</t>
  </si>
  <si>
    <t>$1,000 to $3,000</t>
  </si>
  <si>
    <t>Cost Average 2022 $</t>
  </si>
  <si>
    <t>Average 2024 $</t>
  </si>
  <si>
    <t>Average 2022 $</t>
  </si>
  <si>
    <t>Air Handler Cost in 2022 $</t>
  </si>
  <si>
    <t>Estimated cost: $800 to $1,000</t>
  </si>
  <si>
    <t>$1,000 to $1,500</t>
  </si>
  <si>
    <t>Labor cost</t>
  </si>
  <si>
    <t xml:space="preserve"> Amount = a flat fee for the first $1,000 of total installation cost.  $11 would be added for each $1,000 of installation cost. </t>
  </si>
  <si>
    <t>Condensing Water Heating Venting Costs Per Census Division 2022 $</t>
  </si>
  <si>
    <t>Standard Water Heating Venting Costs Per Census Division 2022 $</t>
  </si>
  <si>
    <t>Average Storage Water Heating Venting Costs Per Census Division 2022 $</t>
  </si>
  <si>
    <t>Space Heating Venting Costs for Distillate Fuel Oil/Kerosene Per Census Division 2022 $</t>
  </si>
  <si>
    <t>Permit Costs by Technology 2022 $</t>
  </si>
  <si>
    <t xml:space="preserve">Details of Subcomponent Costs by Census Division, Inclusive of Markups and Taxes, in 2022 $: </t>
  </si>
  <si>
    <t>HPWHs require sufficient volume. If HPWHs are installed in a small room (e.g. &lt;1,000 cubic feet) the room will need to be retrofitted with a louvered door or ducting will need to be installed for the HWPH, which would come at a higher cost.</t>
  </si>
  <si>
    <t>All Costs in 2022 $</t>
  </si>
  <si>
    <t>1,500 square foot home, 120 to 225 feet of ductwork.</t>
  </si>
  <si>
    <t>National Weighted
Average 2023 $</t>
  </si>
  <si>
    <t>National Weighted
Average 2022 $</t>
  </si>
  <si>
    <t>Details of Subcomponent Costs by Census Division, Inclusive of Markups and Taxes, in 2022 $</t>
  </si>
  <si>
    <t>Labor (hours)</t>
  </si>
  <si>
    <t xml:space="preserve">Amount = a flat fee for the first $1,000 of total installation cost.  $11 would be added for each $1,000 of installation cost. </t>
  </si>
  <si>
    <t> $140 to $600</t>
  </si>
  <si>
    <t>Labor 1 to 2 hours</t>
  </si>
  <si>
    <t>Costs to run fuel lines to external tanks are captured in heating, this assumes there is an internal connection in the home.</t>
  </si>
  <si>
    <t>Costs to decommission Propane Tank are captured in heating, assumes associated costs.</t>
  </si>
  <si>
    <t>Conversion from 2024 $ to 2022 $:</t>
  </si>
  <si>
    <t>Note: The contractor is responsible for inspections</t>
  </si>
  <si>
    <t>Note: 240V electrical line has the same costs for all end-uses</t>
  </si>
  <si>
    <t>Fuel Line Extension Costs</t>
  </si>
  <si>
    <t>Capping Fuel Line Costs</t>
  </si>
  <si>
    <t>Capping Gas Costs</t>
  </si>
  <si>
    <t>Capping Oil Costs</t>
  </si>
  <si>
    <t>Venting - Distillate Fuel Oil/Kerosene Costs</t>
  </si>
  <si>
    <t>Oil Lines (Internal) Costs</t>
  </si>
  <si>
    <t>Fuel Line to External Tank Costs (Optional)</t>
  </si>
  <si>
    <t>Tank Drain and Removal Costs (Optional)</t>
  </si>
  <si>
    <t>Venting Costs - Natural Gas &amp; Propane</t>
  </si>
  <si>
    <t>Propane Gas Line Installation Costs</t>
  </si>
  <si>
    <t>Removal Costs (Optional)</t>
  </si>
  <si>
    <t>Venting Costs (Optional)</t>
  </si>
  <si>
    <t>Capping Propane Costs</t>
  </si>
  <si>
    <t>Capping Gas Line Costs</t>
  </si>
  <si>
    <t>Extra Wiring Costs for an Induction Cooktop (Optional)</t>
  </si>
  <si>
    <t>Requirements: Electric Ranges are generally not required by code to have dedicated ventilation, although many homeowners opt to have a Range hood to vent smoke, steam, and cooking odors.</t>
  </si>
  <si>
    <t>Typical Venting: Standard Range hoods that recirculate air through filters or simple exhaust fans may be sufficient for electric Ranges, depending on local building codes.</t>
  </si>
  <si>
    <t>Assumption: A transition to a Gas or Propane Range will need new venting, but one to electric will not.</t>
  </si>
  <si>
    <t>Fuel Line Installation Costs</t>
  </si>
  <si>
    <t>Venting Costs</t>
  </si>
  <si>
    <t>Removal Costs (Optional to Add in Cost Matrix at User's Discretion)</t>
  </si>
  <si>
    <t>Vent Closure Costs</t>
  </si>
  <si>
    <t>Conversion Kit Costs</t>
  </si>
  <si>
    <r>
      <t>National Weighted Average = ∑  (w</t>
    </r>
    <r>
      <rPr>
        <b/>
        <vertAlign val="subscript"/>
        <sz val="14"/>
        <rFont val="Times New Roman"/>
        <family val="1"/>
      </rPr>
      <t xml:space="preserve">i </t>
    </r>
    <r>
      <rPr>
        <b/>
        <sz val="14"/>
        <rFont val="Times New Roman"/>
        <family val="1"/>
      </rPr>
      <t>- x</t>
    </r>
    <r>
      <rPr>
        <b/>
        <vertAlign val="subscript"/>
        <sz val="14"/>
        <rFont val="Times New Roman"/>
        <family val="1"/>
      </rPr>
      <t>i</t>
    </r>
    <r>
      <rPr>
        <b/>
        <sz val="14"/>
        <rFont val="Times New Roman"/>
        <family val="1"/>
      </rPr>
      <t>)/∑(w</t>
    </r>
    <r>
      <rPr>
        <b/>
        <vertAlign val="subscript"/>
        <sz val="14"/>
        <rFont val="Times New Roman"/>
        <family val="1"/>
      </rPr>
      <t>i</t>
    </r>
    <r>
      <rPr>
        <b/>
        <sz val="14"/>
        <rFont val="Times New Roman"/>
        <family val="1"/>
      </rPr>
      <t>)</t>
    </r>
  </si>
  <si>
    <t>In the Northern U.S., there are direct-venting gas appliances with efficiencies between 90% to 94% Annual Fuel Utilization Efficiency (AFUE) that meet PVC (direct-vent) requirements but do not qualify for ENERGY STAR certification. Therefore, ENERGY STAR data does not comprehensively reflect high efficiency venting for the North between 90% to 94% AFUE. These appliances are not fully represented in ENERGY STAR shipping rate tables, which focus on units meeting higher efficiency thresholds, particularly after 2015.</t>
  </si>
  <si>
    <t>According to AGA, in 2024 14% Percent of the North use energy efficient Natural Gas Furnaces between 90 to 94% (Direct Condensing) and 52% are higher, therefore 66% of gas furnaces are currently above 90% efficiency. In the South, 15% of furnaces are 95% or above efficient.</t>
  </si>
  <si>
    <t>95% and above efficient</t>
  </si>
  <si>
    <t>90% to 94% efficient</t>
  </si>
  <si>
    <t>Current percentage of furnaces with direct venting 90% or above efficiency</t>
  </si>
  <si>
    <r>
      <rPr>
        <sz val="11"/>
        <color theme="1"/>
        <rFont val="Aptos Narrow"/>
        <family val="2"/>
      </rPr>
      <t>†</t>
    </r>
  </si>
  <si>
    <t>Percent of energy used</t>
  </si>
  <si>
    <t>Census Division weights</t>
  </si>
  <si>
    <t>From Table CE3.1 Annual household site end-use consumption in the U.S. - totals and averages:</t>
  </si>
  <si>
    <t>Number of indoor units</t>
  </si>
  <si>
    <t>Very-cold/cold</t>
  </si>
  <si>
    <t>Mixed-dry/hot-dry</t>
  </si>
  <si>
    <t>Units needed</t>
  </si>
  <si>
    <t>Census Division number</t>
  </si>
  <si>
    <t>Census Division name</t>
  </si>
  <si>
    <t>The table below shows the assumed markups for the purposes of the calculations in this workbook.</t>
  </si>
  <si>
    <t>$50 to $100 per hour</t>
  </si>
  <si>
    <t>$30 to $50</t>
  </si>
  <si>
    <t>$260 to $800 + %50 and $100 per hour</t>
  </si>
  <si>
    <t>Horizontal Loop System (Geothermal) Costs</t>
  </si>
  <si>
    <t>Wood Stove Venting Costs</t>
  </si>
  <si>
    <t>Upgrade Electric Panel 200V Costs (Optional)</t>
  </si>
  <si>
    <t>New Oil Tank Standard Installation Costs (Optional)</t>
  </si>
  <si>
    <t>Gas Line Costs</t>
  </si>
  <si>
    <t>Duct Removal Costs (Optional)</t>
  </si>
  <si>
    <t>Duct Closure Costs</t>
  </si>
  <si>
    <t>Labor hours: 8 to 16 hours</t>
  </si>
  <si>
    <r>
      <t xml:space="preserve">($400 to $1,200) </t>
    </r>
    <r>
      <rPr>
        <sz val="11"/>
        <color theme="1"/>
        <rFont val="Aptos Narrow"/>
        <family val="2"/>
      </rPr>
      <t>×</t>
    </r>
    <r>
      <rPr>
        <sz val="11"/>
        <color theme="1"/>
        <rFont val="Times New Roman"/>
        <family val="1"/>
      </rPr>
      <t xml:space="preserve"> 3.3</t>
    </r>
  </si>
  <si>
    <t>Cost of labor per hour</t>
  </si>
  <si>
    <t>Converting labor cost to hours</t>
  </si>
  <si>
    <t>Labor hours</t>
  </si>
  <si>
    <t>Gas Furnace hours</t>
  </si>
  <si>
    <t>Labor hours: 20</t>
  </si>
  <si>
    <t>Note: Labor hours may be used as a cost multiplier rather than a reflection of actual installation time, in order to better approximate total labor costs.</t>
  </si>
  <si>
    <t>New 120V Electric Circuit Installation  Labor Hour Calculation 2022 $</t>
  </si>
  <si>
    <t>Space Heating Venting Costs Per Census Division 2022 $</t>
  </si>
  <si>
    <t>Vent Switching Costs by Probability of Switching to Direct or B-Vent 2022 $</t>
  </si>
  <si>
    <t>Click Here for Venting Cost Notes</t>
  </si>
  <si>
    <t>Total Benefits Percent of Wage</t>
  </si>
  <si>
    <t>Direct Condensing Venting (added Cost)</t>
  </si>
  <si>
    <t xml:space="preserve">National Average x Census Division Labor Index </t>
  </si>
  <si>
    <t>Applied when labor and material costs are bundled and cannot be disaggregated:</t>
  </si>
  <si>
    <t xml:space="preserve">Applied when labor and material costs can be found or derived: </t>
  </si>
  <si>
    <t>AGA Efficient Gas Furnaces By Weighted the Number of New Furnaces and Aggregated by Census Division</t>
  </si>
  <si>
    <t>These shipping rates reflect imply the rates of direct venting for that year regardless if the old system  was direct venting, b-venting, or a new installation.</t>
  </si>
  <si>
    <t>The matrices in this tab show the components needed for switching space heating.</t>
  </si>
  <si>
    <t>All applicable labor and material costs are included and accounted for elsewhere in this workbook.</t>
  </si>
  <si>
    <t>Flat fees, such as permits, do not include labor or material costs and are accounted for separately.</t>
  </si>
  <si>
    <t>This tab contains the residential heating switching costs for the components for each census division.</t>
  </si>
  <si>
    <t>This formula is applied when labor and material costs are bundled and cannot be disaggregated:</t>
  </si>
  <si>
    <t>* A $0 value implies these census divisions have negligible usage of Distillate Fuel Oil/Kerosene</t>
  </si>
  <si>
    <t>Note: The Contractor is Responsible for Inspections.</t>
  </si>
  <si>
    <t>Note: The National Labor Wage Index was used for this section to differentiate between census division costs.</t>
  </si>
  <si>
    <t>Assumes Fuel lines are internal as external lines to fuel tanks are captured in Heating costs.</t>
  </si>
  <si>
    <t xml:space="preserve">This formula is applied when labor and material costs can be found or derived: </t>
  </si>
  <si>
    <t>Cost per Labor hours</t>
  </si>
  <si>
    <t>Similar costs to capping Propane and Oil</t>
  </si>
  <si>
    <t>Similar costs to capping Propane</t>
  </si>
  <si>
    <t>Water heater unit</t>
  </si>
  <si>
    <t>Standard installation</t>
  </si>
  <si>
    <t>Drain and remove Water Heater</t>
  </si>
  <si>
    <t>This tab contains wages for plumbers, electricians, and HVAC technicians broken down by state and census division.</t>
  </si>
  <si>
    <t>To obtain estimates in 2022 $ by census division, several steps were taken. First, a national estimate was obtained by the average of all 50 states in each category. Then the ratio of each census division wage to the national wage for that labor category yielded the census division wage estimate by labor category. This approach was followed here because it was not possible to download the 2022 data directly from the BLS website at the time of development of this report.</t>
  </si>
  <si>
    <t>Note: 2022 BLS wage information link did not function when gathering this information so a wage index was used. These numbers can be updated to better reflect the 2022 numbers if the data becomes available.</t>
  </si>
  <si>
    <t>Census Division
2022 $ Per Hour</t>
  </si>
  <si>
    <t>The table below shows the employment, hourly mean and median wages, along with some statistical measures, for various occupations in each state from 2023.</t>
  </si>
  <si>
    <t>Plumber Weighted Mean Wage/Hour</t>
  </si>
  <si>
    <t>Electrician Weighted Mean Wage/Hour</t>
  </si>
  <si>
    <t>HVAC Weighted Mean Wage/Hour</t>
  </si>
  <si>
    <t>This table calculates the weighted (by employment) average wage (2023 $) per hour for various labor categories.</t>
  </si>
  <si>
    <t>This table shows wages by occupation, state, and census division in 2022 $.</t>
  </si>
  <si>
    <t>(1)Estimates for detailed occupations do not sum to the totals because the totals include occupations not shown separately. Estimates do not include self-employed workers.</t>
  </si>
  <si>
    <t>(2)The relative standard error (RSE) is a measure of the reliability of a survey statistic. The smaller the relative standard error, the more precise the estimate.</t>
  </si>
  <si>
    <t>This table shows employer costs for employee compensation for private industry workers by census division, from the U.S. Bureau of Labor Statistics (for September 2022).</t>
  </si>
  <si>
    <t>BLS- Table 7 Employer Costs for Employee Compensation
for Private Industry Workers by Census Division and Division, 2022</t>
  </si>
  <si>
    <t>The table below shows wages for the excavating and loading machine and dragline operators, by U.S. state and census division, for May 2023.</t>
  </si>
  <si>
    <t>The table below converts the excavating wages (by census division) from 2023 $ to 2022 $, based on the ratio of the 2023 national average of $26.75 to the 2022 national average of $26.68.</t>
  </si>
  <si>
    <t>The table below calculates the 2023 mean wages per hour by census division.</t>
  </si>
  <si>
    <t>The below calculates an excavation wage deflator to convert wages from 2023 $ to 2022 $.</t>
  </si>
  <si>
    <t>This tab contains sales taxes broken down by state and census division and by labor and materials.</t>
  </si>
  <si>
    <t>The tables below calculate the weighted average sales tax rate by census division. This weighted average for each census division is obtained by multiplying the sales tax rate of each state in a census division by that state's population share, and then adding up over all states in the census division.</t>
  </si>
  <si>
    <t>The table below shows the final estimates of weighted average sales tax rate by census division.</t>
  </si>
  <si>
    <t>Annual estimates of the resident population for the United States, regions, states, District of Columbia, and Puerto Rico: April 1, 2020 to July 1, 2023 (NST-EST2023-POP).</t>
  </si>
  <si>
    <t>The table below shows the supporting data used in the calculations of weighted average sales taxes by census division.</t>
  </si>
  <si>
    <t>This tab describes relevant federal tax credits and state-level trends.</t>
  </si>
  <si>
    <t>* These census divisions have negligible usage of Distillate Fuel Oil/Kerosene</t>
  </si>
  <si>
    <t>This tab estimates the likelihood of switching to a high-efficiency system, based on fuel type, technology, and census division.</t>
  </si>
  <si>
    <t>Notes: Two tables are presented below. The first table, 'Number of Air Handler Units' shows the average number of mini-split air handler units per home by Residential Energy Consumption Survey (RECS) climate type. The second table, 'Average Site Energy Consumption' provides the average energy use per household by census division. It is important to note that census divisions do not align perfectly with RECS climate types, and therefore some generalization was necessary in applying assumptions across census divisions. Additionally, mini-split systems are most often used as secondary systems, so the number of units shown may not reflect what would be required to fully replace a primary space heating system. The BTU output of each air handler can also vary, meaning that actual unit counts and costs for full replacement could differ from the values shown. These estimates were developed using base assumptions and supplemented with data from Building Science Evaluation (BSE).</t>
  </si>
  <si>
    <t>This tab documents the estimates used for markup rates, separately for labor and for materials.</t>
  </si>
  <si>
    <t>The items below in this tab indicate the assumptions made for gas dryer costs, which are used in this workbook.</t>
  </si>
  <si>
    <t>RECS Table HC6.6  Space heating in U.S. homes, by climate census division, 2020
Table HC6.8  Space heating in homes in the South and West, 2020</t>
  </si>
  <si>
    <t>This tab includes the components and supporting data tables used to calculate the switching costs associated with water heating switching.</t>
  </si>
  <si>
    <t>This tab includes the components and supporting data tables used to calculate the switching costs associated with clothes drying switching.</t>
  </si>
  <si>
    <t>Costs to run fuel lines to external tanks captured in heating, this assumes there is an internal connection in the home.</t>
  </si>
  <si>
    <t>Costs to decommission propane tank captured in heating, assumes associated costs.</t>
  </si>
  <si>
    <t>Details of space heating switching material and labor costs by census division, inclusive of markups and taxes, in 2022 $, are calculated in this table.</t>
  </si>
  <si>
    <t xml:space="preserve">https://www.homedepot.com/s/Steel-City-4-in-Round-Box-1-2-in-Knockouts-Raised-Ground?NCNI-5 </t>
  </si>
  <si>
    <t xml:space="preserve">https://homeguide.com/costs/cost-to-install-a-220v-or-240v-outlet </t>
  </si>
  <si>
    <t>Mini-Split appliance systems are usually bought in a package and considered a part of the appliance and will not be included in the total switching cost unless manually put in. Include these costs if you want them.</t>
  </si>
  <si>
    <t>These are not typical air handlers and only for a Mini-Split system.</t>
  </si>
  <si>
    <t>This tab describes details of heating technology removal and decommissioning costs, by technology. National averages are calculated as average of census division estimates.</t>
  </si>
  <si>
    <t xml:space="preserve">https://www.moncriefair.com/blog/the-cost-of-replacing-your-furnace </t>
  </si>
  <si>
    <t xml:space="preserve">Labor hours </t>
  </si>
  <si>
    <t>PVC vent pipes</t>
  </si>
  <si>
    <t>PVC elbow fittings (90-degree and 45-degree)</t>
  </si>
  <si>
    <t>Vent termination cap</t>
  </si>
  <si>
    <t>Pipe hangers and supports</t>
  </si>
  <si>
    <t>PVC primer and cement</t>
  </si>
  <si>
    <t>Wall thimble</t>
  </si>
  <si>
    <t>Condensate drain kit</t>
  </si>
  <si>
    <t>Total materials range: $100 to $500</t>
  </si>
  <si>
    <t>System design and layout labor</t>
  </si>
  <si>
    <t>Installation and testing labor</t>
  </si>
  <si>
    <t>Labor per radiator</t>
  </si>
  <si>
    <t>20 Amp circuit breaker</t>
  </si>
  <si>
    <t>Romex cable (12/2)</t>
  </si>
  <si>
    <t>Outlet box</t>
  </si>
  <si>
    <t>Romex cable (10/2)</t>
  </si>
  <si>
    <t>30 Amp circuit breaker</t>
  </si>
  <si>
    <t>Type B gas vent pipe</t>
  </si>
  <si>
    <t>Firestop spacers</t>
  </si>
  <si>
    <t>Storm collars</t>
  </si>
  <si>
    <t>Roof flashing</t>
  </si>
  <si>
    <t>Vent caps</t>
  </si>
  <si>
    <t>Wall brackets</t>
  </si>
  <si>
    <t>Caulk and miscellaneous estimate</t>
  </si>
  <si>
    <t>Labor refrigerant and drain line</t>
  </si>
  <si>
    <t>Single-zone labor</t>
  </si>
  <si>
    <t>Material total (no air handler)</t>
  </si>
  <si>
    <t>12,000 BTU high wall air handler costs 2024 $</t>
  </si>
  <si>
    <t>Soil testing</t>
  </si>
  <si>
    <t>2.5 to 3 ton installation kit</t>
  </si>
  <si>
    <t>Drywall patch &amp; paint</t>
  </si>
  <si>
    <t>Duct repairs</t>
  </si>
  <si>
    <t>Assume average is 100 feet</t>
  </si>
  <si>
    <t>New natural gas line to meter</t>
  </si>
  <si>
    <t>New line to street</t>
  </si>
  <si>
    <t>Stainless steel chimney liner costs</t>
  </si>
  <si>
    <t>Cooktop and oven range switching costs are generally the same for each fuel type. Assume that the new appliance will occupy the same space as previously.</t>
  </si>
  <si>
    <t>Detail Fuel Lines Costs Found Here</t>
  </si>
  <si>
    <t>The cost of leaving a fuel oil tank in place is roughly similar to the cost of removing it, on average. Cost depends mainly on its size. Soil contamination testing may be required.</t>
  </si>
  <si>
    <t>Disconnect power, connections and fittings; disconnect mounting hardware and remove unit from premises; for units up to 200 pounds.</t>
  </si>
  <si>
    <t>An assumption is that all outdoor storage tanks are above ground.</t>
  </si>
  <si>
    <t>Because labor hours and other flat costs are difficult to consistently separate, a National Wage Index was created and used for estimation (click on link here).</t>
  </si>
  <si>
    <t xml:space="preserve">      Complete demolition, removal, and decommissioning of unit</t>
  </si>
  <si>
    <r>
      <t xml:space="preserve">Note: </t>
    </r>
    <r>
      <rPr>
        <i/>
        <sz val="12"/>
        <color theme="1"/>
        <rFont val="Times New Roman"/>
        <family val="1"/>
      </rPr>
      <t>Ductwork closure costs captured in subcomponent installation cost, when applicable.</t>
    </r>
  </si>
  <si>
    <t>Note: Fuel lines have the same costs for all end uses.</t>
  </si>
  <si>
    <t>Cost per hour</t>
  </si>
  <si>
    <t>Total labor cost</t>
  </si>
  <si>
    <t>Note: capping fuel line costs are the same for all end uses.</t>
  </si>
  <si>
    <t>Most Electric Ranges are resistant types, if going to an induction cooktop or range the cost will increase by $100 to hardwire the cooktop or range.</t>
  </si>
  <si>
    <t>Natural Gas and Propane ranges and cooktops typically have electric connections and therefore similar installation costs.</t>
  </si>
  <si>
    <t>Most electric resistance and induction ranges and cooktops have the same 240V costs. The user can replace the 240V electric line with 120V electric line costs to see the difference in cost.</t>
  </si>
  <si>
    <t>Note: the gas meter is usually provided by the service company.</t>
  </si>
  <si>
    <t>Further information on Heat Pump Clothes Dryers:</t>
  </si>
  <si>
    <t>Conversion hookup labor</t>
  </si>
  <si>
    <t>Conversion kit</t>
  </si>
  <si>
    <t>GE appliances</t>
  </si>
  <si>
    <t>Detailed Fuel Lines Costs Found Here</t>
  </si>
  <si>
    <t>Detailed Capping Gas Line Costs Can be Found Here</t>
  </si>
  <si>
    <t>Detailed Gas Line Capping Costs Found Here</t>
  </si>
  <si>
    <t>Note: fuel lines have the same costs for all end uses.</t>
  </si>
  <si>
    <t>Note: 240V electrical line has the same costs for all end-uses.</t>
  </si>
  <si>
    <t>Note: 120V electrical line has the same costs for all end-uses.</t>
  </si>
  <si>
    <r>
      <t xml:space="preserve">where: </t>
    </r>
    <r>
      <rPr>
        <i/>
        <sz val="11"/>
        <color theme="1"/>
        <rFont val="Times New Roman"/>
        <family val="1"/>
      </rPr>
      <t>x</t>
    </r>
    <r>
      <rPr>
        <i/>
        <vertAlign val="subscript"/>
        <sz val="11"/>
        <color theme="1"/>
        <rFont val="Times New Roman"/>
        <family val="1"/>
      </rPr>
      <t>i</t>
    </r>
    <r>
      <rPr>
        <sz val="11"/>
        <color theme="1"/>
        <rFont val="Times New Roman"/>
        <family val="1"/>
      </rPr>
      <t xml:space="preserve"> represents each division's hourly mean wage,
</t>
    </r>
    <r>
      <rPr>
        <i/>
        <sz val="11"/>
        <color theme="1"/>
        <rFont val="Times New Roman"/>
        <family val="1"/>
      </rPr>
      <t>w</t>
    </r>
    <r>
      <rPr>
        <i/>
        <vertAlign val="subscript"/>
        <sz val="11"/>
        <color theme="1"/>
        <rFont val="Times New Roman"/>
        <family val="1"/>
      </rPr>
      <t>i</t>
    </r>
    <r>
      <rPr>
        <i/>
        <sz val="11"/>
        <color theme="1"/>
        <rFont val="Times New Roman"/>
        <family val="1"/>
      </rPr>
      <t xml:space="preserve"> </t>
    </r>
    <r>
      <rPr>
        <sz val="11"/>
        <color theme="1"/>
        <rFont val="Times New Roman"/>
        <family val="1"/>
      </rPr>
      <t xml:space="preserve">represents the corresponding employment for each division's mean wage. In this specific case: The numerator is the sum of the product of each hourly mean wage and its corresponding employment.
The denominator is the total sum of the employment figures over all census divisions.
</t>
    </r>
  </si>
  <si>
    <t>This tab contains wages for excavator technicians broken down by state and census division. There are tables that convert the wages from 2023 $ to 2022 $, as described below.</t>
  </si>
  <si>
    <t xml:space="preserve">https://taxfoundation.org/data/all/state/2022-sales-taxes/#table </t>
  </si>
  <si>
    <t xml:space="preserve">https://www.nyserda.ny.gov/Featured-Stories/US-Heat-Pump-Sales 
 </t>
  </si>
  <si>
    <t xml:space="preserve">https://www.aga.org/natural-gas-or-a-heat-pump-where-you-live-matters/ </t>
  </si>
  <si>
    <r>
      <rPr>
        <b/>
        <sz val="11"/>
        <color theme="1"/>
        <rFont val="Times New Roman"/>
        <family val="1"/>
      </rPr>
      <t>Heat Pumps</t>
    </r>
    <r>
      <rPr>
        <sz val="11"/>
        <color theme="1"/>
        <rFont val="Times New Roman"/>
        <family val="1"/>
      </rPr>
      <t xml:space="preserve"> - Nyserda shows sales surpassing gas furnaces (2022), AGA shows switching from heat pumps to gas by state.
</t>
    </r>
  </si>
  <si>
    <t>2 hours (natural gas plumber)</t>
  </si>
  <si>
    <t>This formula is applied when labor and material costs can be found or derived:</t>
  </si>
  <si>
    <t>Mini-Split Air Handlers by Census Division</t>
  </si>
  <si>
    <t>This tab includes a description of assumptions and sources used for number of mini-split air handlers units needed per home, by census division.</t>
  </si>
  <si>
    <t>Tab Number</t>
  </si>
  <si>
    <t>Tab Name</t>
  </si>
  <si>
    <t>This tab provides an overview of the methodology for capturing residential appliance switching costs and how they are separated by census division.</t>
  </si>
  <si>
    <t xml:space="preserve">This tab presents national average residential fuel switching cost matrices, separately for space heating, water heating, clothes drying and cooking stoves. </t>
  </si>
  <si>
    <t xml:space="preserve">This tab presents residential fuel switching cost matrices, separately for space heating, water heating, clothes drying and cooking stoves, for the New England Census Division. </t>
  </si>
  <si>
    <t xml:space="preserve">This tab presents residential fuel switching cost matrices, separately for space heating, water heating, clothes drying and cooking stoves, for the Middle Atlantic Census Division. </t>
  </si>
  <si>
    <t xml:space="preserve">This tab presents residential fuel switching cost matrices, separately for space heating, water heating, clothes drying and cooking stoves, for the East North Central Census Division. </t>
  </si>
  <si>
    <t xml:space="preserve">This tab presents residential fuel switching cost matrices, separately for space heating, water heating, clothes drying and cooking stoves, for the West North Central Census Division. </t>
  </si>
  <si>
    <t xml:space="preserve">This tab presents residential fuel switching cost matrices, separately for space heating, water heating, clothes drying and cooking stoves, for the South Atlantic Census Division. </t>
  </si>
  <si>
    <t xml:space="preserve">This tab presents residential fuel switching cost matrices, separately for space heating, water heating, clothes drying and cooking stoves, for the East South Central Census Division. </t>
  </si>
  <si>
    <t xml:space="preserve">This tab presents residential fuel switching cost matrices, separately for space heating, water heating, clothes drying and cooking stoves, for the West South Central Census Division. </t>
  </si>
  <si>
    <t xml:space="preserve">This tab presents residential fuel switching cost matrices, separately for space heating, water heating, clothes drying and cooking stoves, for the Mountain Census Division. </t>
  </si>
  <si>
    <t xml:space="preserve">This tab presents residential fuel switching cost matrices, separately for space heating, water heating, clothes drying and cooking stoves, for the Pacific Census Division. </t>
  </si>
  <si>
    <t>This tab outlines how the subcomponent inputs are included or excluded for each scenario when considering residential space heating fuel and technology switching costs.</t>
  </si>
  <si>
    <t>This tab contains the underlying data used for residential space heating switching cost scenarios.</t>
  </si>
  <si>
    <t>This tab contains the residential space heating switching costs for the subcomponents for each census division.</t>
  </si>
  <si>
    <t>This tab contains the decommissioning costs for each residential space heating technology that cannot be reused, and associated permit and inspection costs.</t>
  </si>
  <si>
    <t>This tab contains the detailed switching costs  related to residential water heaters.</t>
  </si>
  <si>
    <t>This tab outlines how the subcomponent Costs and inputs included or excluded for each scenario when considering residential cooking fuel and technology switching costs.</t>
  </si>
  <si>
    <t>This tab outlines the subcomponent costs and inputs included or excluded for each scenario when considering residential clothes drying fuel and technology switching costs.</t>
  </si>
  <si>
    <t>This tab contains wages for excavators technicians broken down by state and census division.</t>
  </si>
  <si>
    <t>This tab contains taxes broken down by state and census division and by labor and materials.</t>
  </si>
  <si>
    <t>This tab contains notes on venting and expected costs.</t>
  </si>
  <si>
    <t>This tab includes a description of assumptions and sources used for number of Mini-Split Air Handler units needed per home, by census division.</t>
  </si>
  <si>
    <t>This tab contains notes on Gas Dryers.</t>
  </si>
  <si>
    <t>Like-in-Kind</t>
  </si>
  <si>
    <t xml:space="preserve">Difference Between Total PVC Venting and ENERGY STAR 2015 </t>
  </si>
  <si>
    <t>ENERGY STAR Rated 2015</t>
  </si>
  <si>
    <t>From AGA American Gas Association - Energy Analysis
Empowering Consumer Choices: Analyzing the Impact of the ENERGY STAR Program on the Adoption of High-Efficiency Gas Appliances Rev.2023.06.09</t>
  </si>
  <si>
    <t>Difference From Average</t>
  </si>
  <si>
    <t>National Estimated ENERGY STAR Market Penetration (High-Efficiency shipping rates) (2004–2023)</t>
  </si>
  <si>
    <t>Multiple Tables (years 2004 through 2023)</t>
  </si>
  <si>
    <r>
      <rPr>
        <sz val="11"/>
        <color theme="1"/>
        <rFont val="Aptos Narrow"/>
        <family val="2"/>
      </rPr>
      <t>†</t>
    </r>
    <r>
      <rPr>
        <sz val="11"/>
        <color theme="1"/>
        <rFont val="Times New Roman"/>
        <family val="1"/>
      </rPr>
      <t xml:space="preserve"> Since 2004 is the first year of data, it is not possible to calculate a rate of change for that year.</t>
    </r>
  </si>
  <si>
    <t xml:space="preserve"> To better estimate the probability of switching to high-efficiency systems, especially in cases where ENERGY STAR data is incomplete (as described above), we use two key data sources:
1.     The American Gas Association (AGA) Energy Analysis Table, from the report "Empowering Consumer Choices: Analyzing the Impact of the ENERGY STAR Program on the Adoption of High-Efficiency Gas Appliances" (Rev. 2023.06.09), which provides data on total direct-venting appliance shipments in 2015, including non-ENERGY STAR units.
2.     ENERGY STAR shipping rate data from 2004 to 2023.
For other fuel types, similar trends are assumed, due to limited data availability.</t>
  </si>
  <si>
    <t>Natural Gas Furnace Rates of Change</t>
  </si>
  <si>
    <t xml:space="preserve">https://www.energystar.gov/products/boilers </t>
  </si>
  <si>
    <t>ENERGY STAR 2022 + AGA Difference</t>
  </si>
  <si>
    <t>Difference Between all condensing and ENERGY STAR</t>
  </si>
  <si>
    <t>A percentage added to account for the differences in ENERGY STAR's efficiency rating for the North by using AGA's estimate of High efficiency compared to ENERGY STAR's shipping rates for 2015.</t>
  </si>
  <si>
    <t xml:space="preserve">https://www.energystar.gov/products/furnaces/key_product_criteria </t>
  </si>
  <si>
    <t>Oil Furnaces have an ENERGY STAR rating of 85% AFUE or greater North or South so no adjustments were made.</t>
  </si>
  <si>
    <t>Total Condensing in 2015</t>
  </si>
  <si>
    <t>Gas dryers were accounted for with the assumptions that the differences between each Census Division are similar to gas furnaces and a percentage added to account for the differences in ENERGY STAR's efficiency rating for the North by using AGA's estimate of High efficiency compared to ENERGY STAR's shipping rates for 2015.</t>
  </si>
  <si>
    <t xml:space="preserve">Assumption: For gas boilers set conversion to direct venting to average to 64% ENERGY STAR rating is 90% for both North and South and will set the conversion at 68% for the North and 60% for the South. </t>
  </si>
  <si>
    <t>Boilers are considered "condensing" at 86-98% fficiency for the North and South no no adjustments were made.</t>
  </si>
  <si>
    <t xml:space="preserve">https://homeguide.com/costs/radiator-replacement-cost </t>
  </si>
  <si>
    <t xml:space="preserve">https://www.homedepot.com/s/outlet%20box?NCNI-5 </t>
  </si>
  <si>
    <t>Notes: No data available for gas dryers before 2015. Data for 2015 and 2022 are in bold because they are the years that AGA has detailed data that are used in the remaining analysis in this tab.</t>
  </si>
  <si>
    <t>This tab contains tables for Space Heating Installation Components Costs, by technology.</t>
  </si>
  <si>
    <t>Sheet metal ducts</t>
  </si>
  <si>
    <r>
      <rPr>
        <sz val="14"/>
        <color theme="1"/>
        <rFont val="Times New Roman"/>
        <family val="1"/>
      </rPr>
      <t>*</t>
    </r>
    <r>
      <rPr>
        <sz val="11"/>
        <color theme="1"/>
        <rFont val="Times New Roman"/>
        <family val="1"/>
      </rPr>
      <t xml:space="preserve"> A $0 value indicates these census divisions have negligible usage of Distillate Fuel Oil/Kerosene</t>
    </r>
  </si>
  <si>
    <t>Some HPWHs can use a 120V receptacle circuit
HPWHs require connection to a drain. In some cases such as basements or where the water heater is near an existing AC coil, a drain exists nearby so cost would be minimal.</t>
  </si>
  <si>
    <t xml:space="preserve">This tab includes matrices that describe the components needed for water heating switches with different venting efficiencies. It also contains a matrix with component costs, and supporting data tables for the switching cost calculations. </t>
  </si>
  <si>
    <t>This report and workbook were prepared as an account of work sponsored by an agency of the United States Government. Neither the United States Government, nor any agency thereof, nor any of their employees, nor any of their contractors, subcontractors, or their employees, makes any warranty, express or implied, or assumes any legal liability or responsibility for the accuracy, completeness, or usefulness of any information, apparatus, product, or process disclosed, or represents that its use would not infringe privately owned rights. Reference herein to any specific commercial product, process, or service by trade name, trademark, manufacturer, or otherwise does not necessarily constitute or imply its endorsement, recommendation, or favoring by the United States Government or any agency, contractor, or subcontractor thereof. The views and opinions of authors expressed herein do not necessarily state or reflect those of the United States Government or any agency thereof.</t>
  </si>
  <si>
    <t>NOTICE</t>
  </si>
  <si>
    <r>
      <t xml:space="preserve">Residential </t>
    </r>
    <r>
      <rPr>
        <b/>
        <u/>
        <sz val="36"/>
        <color theme="0"/>
        <rFont val="Times New Roman"/>
        <family val="1"/>
      </rPr>
      <t>Water Heating</t>
    </r>
    <r>
      <rPr>
        <b/>
        <sz val="36"/>
        <color theme="0"/>
        <rFont val="Times New Roman"/>
        <family val="1"/>
      </rPr>
      <t xml:space="preserve"> Switching Costs: Standard Fuels and Technologies
for Instantaneous (Tankless) Technology Switching to Alternate Fuels
Including Average Venting</t>
    </r>
  </si>
  <si>
    <r>
      <t xml:space="preserve">Residential </t>
    </r>
    <r>
      <rPr>
        <b/>
        <u/>
        <sz val="36"/>
        <color theme="0"/>
        <rFont val="Times New Roman"/>
        <family val="1"/>
      </rPr>
      <t>Water Heating</t>
    </r>
    <r>
      <rPr>
        <b/>
        <sz val="36"/>
        <color theme="0"/>
        <rFont val="Times New Roman"/>
        <family val="1"/>
      </rPr>
      <t xml:space="preserve"> Switching Costs: Standard Fuels and Technologies
for Instantaneous (Tankless) Technology Switching to Alternate Fuels
Including Switching From a Non-Existent or Standard-Efficiency B-Vent to a High-Efficiency Direct Vent</t>
    </r>
  </si>
  <si>
    <r>
      <t xml:space="preserve">Residential </t>
    </r>
    <r>
      <rPr>
        <b/>
        <u/>
        <sz val="36"/>
        <color theme="0"/>
        <rFont val="Times New Roman"/>
        <family val="1"/>
      </rPr>
      <t>Water Heating</t>
    </r>
    <r>
      <rPr>
        <b/>
        <sz val="36"/>
        <color theme="0"/>
        <rFont val="Times New Roman"/>
        <family val="1"/>
      </rPr>
      <t xml:space="preserve"> Switching Costs: Standard Fuels and Technologies
for Instantaneous (Tankless) Technology Switching to Alternate Fuels
Including Switching From a Non-Existent or High-Efficiency Direct Vent to a Standard-Efficiency B-Vent</t>
    </r>
  </si>
  <si>
    <t>https://www.bls.gov/ooh/construction-and-extraction/electricians.htm#tab-7</t>
  </si>
  <si>
    <t>https://www.bls.gov/ooh/installation-maintenance-and-repair/heating-air-conditioning-and-refrigeration-mechanics-and-installers.htm#tab-7</t>
  </si>
  <si>
    <t>https://www.bls.gov/ooh/construction-and-extraction/plumbers-pipefitters-and-steamfitters.htm#tab-7</t>
  </si>
  <si>
    <t>https://www.bls.gov/news.release/archives/ecec_12152022.pdf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</si>
</sst>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5" formatCode="&quot;$&quot;#,##0_);\(&quot;$&quot;#,##0\)"/>
    <numFmt numFmtId="6" formatCode="&quot;$&quot;#,##0_);[Red]\(&quot;$&quot;#,##0\)"/>
    <numFmt numFmtId="8" formatCode="&quot;$&quot;#,##0.00_);[Red]\(&quot;$&quot;#,##0.00\)"/>
    <numFmt numFmtId="43" formatCode="_(* #,##0.00_);_(* \(#,##0.00\);_(* &quot;-&quot;??_);_(@_)"/>
    <numFmt numFmtId="164" formatCode="#0"/>
    <numFmt numFmtId="165" formatCode="&quot;$&quot;#,##0.00"/>
    <numFmt numFmtId="166" formatCode="#,##0.000"/>
    <numFmt numFmtId="167" formatCode="&quot;$&quot;#,##0.000"/>
    <numFmt numFmtId="168" formatCode="&quot;$&quot;#,##0"/>
    <numFmt numFmtId="169" formatCode="0.0%"/>
    <numFmt numFmtId="170" formatCode="_(* #,##0.0_);_(* \(#,##0.0\);_(* &quot;-&quot;??_);_(@_)"/>
    <numFmt numFmtId="171" formatCode="_(* #,##0_);_(* \(#,##0\);_(* &quot;-&quot;??_);_(@_)"/>
    <numFmt numFmtId="172" formatCode="0.000000000000000%"/>
  </numFmts>
  <fonts count="127" x14ac:knownFonts="1">
    <font>
      <sz val="11"/>
      <color theme="1"/>
      <name val="Aptos Narrow"/>
      <family val="2"/>
      <scheme val="minor"/>
    </font>
    <font>
      <sz val="10"/>
      <color rgb="FF000000"/>
      <name val="Times New Roman"/>
      <family val="1"/>
    </font>
    <font>
      <u/>
      <sz val="11"/>
      <color theme="10"/>
      <name val="Aptos Narrow"/>
      <family val="2"/>
      <scheme val="minor"/>
    </font>
    <font>
      <sz val="8"/>
      <name val="Aptos Narrow"/>
      <family val="2"/>
      <scheme val="minor"/>
    </font>
    <font>
      <b/>
      <sz val="12"/>
      <color theme="1"/>
      <name val="Times New Roman"/>
      <family val="1"/>
    </font>
    <font>
      <b/>
      <sz val="16"/>
      <color theme="1"/>
      <name val="Times New Roman"/>
      <family val="1"/>
    </font>
    <font>
      <sz val="11"/>
      <color theme="1"/>
      <name val="Times New Roman"/>
      <family val="1"/>
    </font>
    <font>
      <b/>
      <sz val="11"/>
      <color theme="1"/>
      <name val="Times New Roman"/>
      <family val="1"/>
    </font>
    <font>
      <sz val="12"/>
      <color theme="1"/>
      <name val="Times New Roman"/>
      <family val="1"/>
    </font>
    <font>
      <u/>
      <sz val="12"/>
      <color theme="10"/>
      <name val="Times New Roman"/>
      <family val="1"/>
    </font>
    <font>
      <b/>
      <sz val="14"/>
      <color rgb="FF000000"/>
      <name val="Times New Roman"/>
      <family val="1"/>
    </font>
    <font>
      <sz val="14"/>
      <color rgb="FF000000"/>
      <name val="Times New Roman"/>
      <family val="1"/>
    </font>
    <font>
      <sz val="11"/>
      <color indexed="8"/>
      <name val="Aptos Narrow"/>
      <family val="2"/>
      <scheme val="minor"/>
    </font>
    <font>
      <u/>
      <sz val="11"/>
      <color theme="10"/>
      <name val="Times New Roman"/>
      <family val="1"/>
    </font>
    <font>
      <b/>
      <sz val="22"/>
      <color theme="1"/>
      <name val="Times New Roman"/>
      <family val="1"/>
    </font>
    <font>
      <i/>
      <sz val="11"/>
      <color theme="1"/>
      <name val="Times New Roman"/>
      <family val="1"/>
    </font>
    <font>
      <sz val="10"/>
      <color theme="1"/>
      <name val="Times New Roman"/>
      <family val="1"/>
    </font>
    <font>
      <b/>
      <sz val="18"/>
      <color theme="0"/>
      <name val="Times New Roman"/>
      <family val="1"/>
    </font>
    <font>
      <b/>
      <sz val="18"/>
      <color theme="1"/>
      <name val="Times New Roman"/>
      <family val="1"/>
    </font>
    <font>
      <b/>
      <sz val="18"/>
      <name val="Times New Roman"/>
      <family val="1"/>
    </font>
    <font>
      <sz val="18"/>
      <color theme="1"/>
      <name val="Times New Roman"/>
      <family val="1"/>
    </font>
    <font>
      <u/>
      <sz val="18"/>
      <color theme="10"/>
      <name val="Times New Roman"/>
      <family val="1"/>
    </font>
    <font>
      <sz val="18"/>
      <name val="Times New Roman"/>
      <family val="1"/>
    </font>
    <font>
      <b/>
      <sz val="28"/>
      <color theme="1"/>
      <name val="Times New Roman"/>
      <family val="1"/>
    </font>
    <font>
      <b/>
      <sz val="9"/>
      <color theme="1"/>
      <name val="Aptos Narrow"/>
      <family val="2"/>
      <scheme val="minor"/>
    </font>
    <font>
      <sz val="9"/>
      <color theme="1"/>
      <name val="Aptos Narrow"/>
      <family val="2"/>
      <scheme val="minor"/>
    </font>
    <font>
      <b/>
      <sz val="36"/>
      <color theme="0"/>
      <name val="Times New Roman"/>
      <family val="1"/>
    </font>
    <font>
      <b/>
      <u/>
      <sz val="36"/>
      <color theme="0"/>
      <name val="Times New Roman"/>
      <family val="1"/>
    </font>
    <font>
      <b/>
      <sz val="26"/>
      <color theme="1"/>
      <name val="Times New Roman"/>
      <family val="1"/>
    </font>
    <font>
      <b/>
      <sz val="24"/>
      <color theme="0"/>
      <name val="Times New Roman"/>
      <family val="1"/>
    </font>
    <font>
      <b/>
      <sz val="28"/>
      <name val="Times New Roman"/>
      <family val="1"/>
    </font>
    <font>
      <b/>
      <u/>
      <sz val="28"/>
      <color theme="1"/>
      <name val="Times New Roman"/>
      <family val="1"/>
    </font>
    <font>
      <b/>
      <u/>
      <sz val="28"/>
      <name val="Times New Roman"/>
      <family val="1"/>
    </font>
    <font>
      <b/>
      <sz val="16"/>
      <color theme="0"/>
      <name val="Times New Roman"/>
      <family val="1"/>
    </font>
    <font>
      <b/>
      <sz val="14"/>
      <color theme="1"/>
      <name val="Times New Roman"/>
      <family val="1"/>
    </font>
    <font>
      <i/>
      <sz val="14"/>
      <color theme="1"/>
      <name val="Times New Roman"/>
      <family val="1"/>
    </font>
    <font>
      <i/>
      <sz val="16"/>
      <color theme="1"/>
      <name val="Times New Roman"/>
      <family val="1"/>
    </font>
    <font>
      <b/>
      <i/>
      <sz val="14"/>
      <color theme="1"/>
      <name val="Times New Roman"/>
      <family val="1"/>
    </font>
    <font>
      <b/>
      <sz val="22"/>
      <color theme="0"/>
      <name val="Times New Roman"/>
      <family val="1"/>
    </font>
    <font>
      <b/>
      <sz val="24"/>
      <color theme="1"/>
      <name val="Times New Roman"/>
      <family val="1"/>
    </font>
    <font>
      <b/>
      <sz val="48"/>
      <color theme="1"/>
      <name val="Times New Roman"/>
      <family val="1"/>
    </font>
    <font>
      <b/>
      <sz val="20"/>
      <color theme="1"/>
      <name val="Times New Roman"/>
      <family val="1"/>
    </font>
    <font>
      <sz val="14"/>
      <color theme="1"/>
      <name val="Times New Roman"/>
      <family val="1"/>
    </font>
    <font>
      <u/>
      <sz val="14"/>
      <color theme="10"/>
      <name val="Times New Roman"/>
      <family val="1"/>
    </font>
    <font>
      <sz val="14"/>
      <name val="Times New Roman"/>
      <family val="1"/>
    </font>
    <font>
      <b/>
      <sz val="14"/>
      <name val="Times New Roman"/>
      <family val="1"/>
    </font>
    <font>
      <b/>
      <vertAlign val="superscript"/>
      <sz val="14"/>
      <name val="Times New Roman"/>
      <family val="1"/>
    </font>
    <font>
      <sz val="24"/>
      <color theme="1"/>
      <name val="Times New Roman"/>
      <family val="1"/>
    </font>
    <font>
      <b/>
      <sz val="34"/>
      <color theme="1"/>
      <name val="Times New Roman"/>
      <family val="1"/>
    </font>
    <font>
      <b/>
      <sz val="11"/>
      <name val="Times New Roman"/>
      <family val="1"/>
    </font>
    <font>
      <sz val="11"/>
      <name val="Times New Roman"/>
      <family val="1"/>
    </font>
    <font>
      <b/>
      <sz val="10"/>
      <color rgb="FF000000"/>
      <name val="Times New Roman"/>
      <family val="1"/>
    </font>
    <font>
      <b/>
      <sz val="14"/>
      <color theme="0"/>
      <name val="Times New Roman"/>
      <family val="1"/>
    </font>
    <font>
      <sz val="11"/>
      <color theme="0"/>
      <name val="Times New Roman"/>
      <family val="1"/>
    </font>
    <font>
      <b/>
      <sz val="11"/>
      <color theme="0"/>
      <name val="Times New Roman"/>
      <family val="1"/>
    </font>
    <font>
      <b/>
      <sz val="13.5"/>
      <color theme="0"/>
      <name val="Times New Roman"/>
      <family val="1"/>
    </font>
    <font>
      <b/>
      <sz val="12"/>
      <color theme="0"/>
      <name val="Times New Roman"/>
      <family val="1"/>
    </font>
    <font>
      <b/>
      <sz val="12"/>
      <name val="Times New Roman"/>
      <family val="1"/>
    </font>
    <font>
      <sz val="14"/>
      <color theme="0"/>
      <name val="Times New Roman"/>
      <family val="1"/>
    </font>
    <font>
      <i/>
      <sz val="11"/>
      <color theme="10"/>
      <name val="Times New Roman"/>
      <family val="1"/>
    </font>
    <font>
      <b/>
      <sz val="13.5"/>
      <name val="Times New Roman"/>
      <family val="1"/>
    </font>
    <font>
      <b/>
      <sz val="10"/>
      <color theme="1"/>
      <name val="Times New Roman"/>
      <family val="1"/>
    </font>
    <font>
      <b/>
      <sz val="18"/>
      <color rgb="FF000000"/>
      <name val="Times New Roman"/>
      <family val="1"/>
    </font>
    <font>
      <sz val="11"/>
      <color rgb="FFFF0000"/>
      <name val="Times New Roman"/>
      <family val="1"/>
    </font>
    <font>
      <sz val="11"/>
      <color theme="3" tint="0.499984740745262"/>
      <name val="Times New Roman"/>
      <family val="1"/>
    </font>
    <font>
      <b/>
      <sz val="11"/>
      <color theme="3" tint="0.499984740745262"/>
      <name val="Times New Roman"/>
      <family val="1"/>
    </font>
    <font>
      <u/>
      <sz val="11"/>
      <color theme="3" tint="0.499984740745262"/>
      <name val="Times New Roman"/>
      <family val="1"/>
    </font>
    <font>
      <b/>
      <sz val="14"/>
      <color theme="3" tint="0.499984740745262"/>
      <name val="Times New Roman"/>
      <family val="1"/>
    </font>
    <font>
      <sz val="14"/>
      <color theme="3" tint="0.499984740745262"/>
      <name val="Times New Roman"/>
      <family val="1"/>
    </font>
    <font>
      <i/>
      <sz val="14"/>
      <name val="Times New Roman"/>
      <family val="1"/>
    </font>
    <font>
      <sz val="11"/>
      <color theme="4" tint="0.39994506668294322"/>
      <name val="Times New Roman"/>
      <family val="1"/>
    </font>
    <font>
      <sz val="14"/>
      <color theme="4" tint="0.39994506668294322"/>
      <name val="Times New Roman"/>
      <family val="1"/>
    </font>
    <font>
      <b/>
      <sz val="11"/>
      <color theme="4" tint="0.39994506668294322"/>
      <name val="Times New Roman"/>
      <family val="1"/>
    </font>
    <font>
      <b/>
      <sz val="16"/>
      <name val="Times New Roman"/>
      <family val="1"/>
    </font>
    <font>
      <u/>
      <sz val="11"/>
      <color theme="4" tint="0.39994506668294322"/>
      <name val="Times New Roman"/>
      <family val="1"/>
    </font>
    <font>
      <u/>
      <sz val="11"/>
      <name val="Times New Roman"/>
      <family val="1"/>
    </font>
    <font>
      <b/>
      <sz val="20"/>
      <color theme="0"/>
      <name val="Times New Roman"/>
      <family val="1"/>
    </font>
    <font>
      <sz val="9.75"/>
      <color rgb="FF334155"/>
      <name val="Times New Roman"/>
      <family val="1"/>
    </font>
    <font>
      <sz val="13"/>
      <name val="Times New Roman"/>
      <family val="1"/>
    </font>
    <font>
      <sz val="36"/>
      <color theme="1"/>
      <name val="Times New Roman"/>
      <family val="1"/>
    </font>
    <font>
      <i/>
      <sz val="12"/>
      <color theme="1"/>
      <name val="Times New Roman"/>
      <family val="1"/>
    </font>
    <font>
      <sz val="16"/>
      <color theme="1"/>
      <name val="Times New Roman"/>
      <family val="1"/>
    </font>
    <font>
      <sz val="11"/>
      <color theme="1"/>
      <name val="Aptos Narrow"/>
      <family val="2"/>
      <scheme val="minor"/>
    </font>
    <font>
      <sz val="12"/>
      <color rgb="FF000000"/>
      <name val="Times New Roman"/>
      <family val="1"/>
    </font>
    <font>
      <sz val="11"/>
      <color rgb="FF00B0F0"/>
      <name val="Times New Roman"/>
      <family val="1"/>
    </font>
    <font>
      <sz val="10"/>
      <name val="Times New Roman"/>
      <family val="1"/>
    </font>
    <font>
      <u/>
      <sz val="10"/>
      <color theme="4"/>
      <name val="Aptos Narrow"/>
      <family val="2"/>
      <scheme val="minor"/>
    </font>
    <font>
      <u/>
      <sz val="11"/>
      <color theme="6"/>
      <name val="Calibri"/>
      <family val="2"/>
    </font>
    <font>
      <b/>
      <sz val="12"/>
      <color theme="4"/>
      <name val="Aptos Narrow"/>
      <family val="2"/>
      <scheme val="minor"/>
    </font>
    <font>
      <sz val="24"/>
      <name val="Times New Roman"/>
      <family val="1"/>
    </font>
    <font>
      <b/>
      <sz val="24"/>
      <name val="Times New Roman"/>
      <family val="1"/>
    </font>
    <font>
      <b/>
      <u/>
      <sz val="24"/>
      <name val="Times New Roman"/>
      <family val="1"/>
    </font>
    <font>
      <b/>
      <sz val="22"/>
      <name val="Times New Roman"/>
      <family val="1"/>
    </font>
    <font>
      <sz val="36"/>
      <name val="Times New Roman"/>
      <family val="1"/>
    </font>
    <font>
      <sz val="12"/>
      <name val="Times New Roman"/>
      <family val="1"/>
    </font>
    <font>
      <b/>
      <i/>
      <sz val="12"/>
      <color theme="1"/>
      <name val="Times New Roman"/>
      <family val="1"/>
    </font>
    <font>
      <b/>
      <sz val="12"/>
      <color theme="3" tint="0.499984740745262"/>
      <name val="Times New Roman"/>
      <family val="1"/>
    </font>
    <font>
      <sz val="12"/>
      <color theme="3" tint="0.499984740745262"/>
      <name val="Times New Roman"/>
      <family val="1"/>
    </font>
    <font>
      <b/>
      <sz val="12"/>
      <color theme="4" tint="0.39994506668294322"/>
      <name val="Times New Roman"/>
      <family val="1"/>
    </font>
    <font>
      <b/>
      <sz val="14"/>
      <color theme="4" tint="0.39994506668294322"/>
      <name val="Times New Roman"/>
      <family val="1"/>
    </font>
    <font>
      <b/>
      <sz val="13"/>
      <color theme="1"/>
      <name val="Times New Roman"/>
      <family val="1"/>
    </font>
    <font>
      <sz val="11"/>
      <color theme="0"/>
      <name val="Aptos Narrow"/>
      <family val="2"/>
      <scheme val="minor"/>
    </font>
    <font>
      <sz val="11"/>
      <color theme="4" tint="0.39997558519241921"/>
      <name val="Times New Roman"/>
      <family val="1"/>
    </font>
    <font>
      <b/>
      <sz val="14"/>
      <color theme="4" tint="0.39997558519241921"/>
      <name val="Times New Roman"/>
      <family val="1"/>
    </font>
    <font>
      <i/>
      <sz val="11"/>
      <color theme="4" tint="0.39994506668294322"/>
      <name val="Times New Roman"/>
      <family val="1"/>
    </font>
    <font>
      <i/>
      <sz val="16"/>
      <name val="Times New Roman"/>
      <family val="1"/>
    </font>
    <font>
      <u/>
      <sz val="11"/>
      <color theme="4" tint="0.39997558519241921"/>
      <name val="Times New Roman"/>
      <family val="1"/>
    </font>
    <font>
      <b/>
      <i/>
      <sz val="11"/>
      <color theme="1"/>
      <name val="Times New Roman"/>
      <family val="1"/>
    </font>
    <font>
      <b/>
      <sz val="34"/>
      <name val="Times New Roman"/>
      <family val="1"/>
    </font>
    <font>
      <sz val="14"/>
      <color theme="4" tint="0.39997558519241921"/>
      <name val="Times New Roman"/>
      <family val="1"/>
    </font>
    <font>
      <u/>
      <sz val="11"/>
      <color theme="1"/>
      <name val="Times New Roman"/>
      <family val="1"/>
    </font>
    <font>
      <sz val="11"/>
      <color rgb="FF000000"/>
      <name val="Times New Roman"/>
      <family val="1"/>
    </font>
    <font>
      <b/>
      <sz val="11"/>
      <color rgb="FF333333"/>
      <name val="Times New Roman"/>
      <family val="1"/>
    </font>
    <font>
      <b/>
      <sz val="11"/>
      <color rgb="FF000000"/>
      <name val="Times New Roman"/>
      <family val="1"/>
    </font>
    <font>
      <b/>
      <sz val="11"/>
      <color theme="4" tint="0.39997558519241921"/>
      <name val="Times New Roman"/>
      <family val="1"/>
    </font>
    <font>
      <b/>
      <vertAlign val="subscript"/>
      <sz val="14"/>
      <name val="Times New Roman"/>
      <family val="1"/>
    </font>
    <font>
      <b/>
      <sz val="13"/>
      <name val="Times New Roman"/>
      <family val="1"/>
    </font>
    <font>
      <sz val="11"/>
      <color theme="1"/>
      <name val="Aptos Narrow"/>
      <family val="2"/>
    </font>
    <font>
      <b/>
      <i/>
      <sz val="16"/>
      <color theme="1"/>
      <name val="Times New Roman"/>
      <family val="1"/>
    </font>
    <font>
      <b/>
      <i/>
      <sz val="16"/>
      <name val="Times New Roman"/>
      <family val="1"/>
    </font>
    <font>
      <b/>
      <u/>
      <sz val="11"/>
      <color theme="10"/>
      <name val="Times New Roman"/>
      <family val="1"/>
    </font>
    <font>
      <i/>
      <vertAlign val="subscript"/>
      <sz val="11"/>
      <color theme="1"/>
      <name val="Times New Roman"/>
      <family val="1"/>
    </font>
    <font>
      <sz val="20"/>
      <color rgb="FF000000"/>
      <name val="Times New Roman"/>
      <family val="1"/>
    </font>
    <font>
      <b/>
      <sz val="24"/>
      <color theme="7"/>
      <name val="Aptos Narrow"/>
      <family val="2"/>
      <scheme val="minor"/>
    </font>
    <font>
      <b/>
      <sz val="26"/>
      <name val="Times New Roman"/>
      <family val="1"/>
    </font>
    <font>
      <sz val="26"/>
      <color theme="1"/>
      <name val="Times New Roman"/>
      <family val="1"/>
    </font>
    <font>
      <sz val="28"/>
      <color theme="1"/>
      <name val="Times New Roman"/>
      <family val="1"/>
    </font>
  </fonts>
  <fills count="26">
    <fill>
      <patternFill patternType="none"/>
    </fill>
    <fill>
      <patternFill patternType="gray125"/>
    </fill>
    <fill>
      <patternFill patternType="solid">
        <fgColor theme="4" tint="0.59999389629810485"/>
        <bgColor indexed="64"/>
      </patternFill>
    </fill>
    <fill>
      <patternFill patternType="solid">
        <fgColor rgb="FFFFFF66"/>
        <bgColor indexed="64"/>
      </patternFill>
    </fill>
    <fill>
      <patternFill patternType="solid">
        <fgColor rgb="FFFF0000"/>
        <bgColor indexed="64"/>
      </patternFill>
    </fill>
    <fill>
      <patternFill patternType="solid">
        <fgColor theme="0"/>
        <bgColor indexed="64"/>
      </patternFill>
    </fill>
    <fill>
      <patternFill patternType="solid">
        <fgColor rgb="FFFFFFFF"/>
        <bgColor indexed="64"/>
      </patternFill>
    </fill>
    <fill>
      <patternFill patternType="solid">
        <fgColor rgb="FF7030A0"/>
        <bgColor indexed="64"/>
      </patternFill>
    </fill>
    <fill>
      <patternFill patternType="solid">
        <fgColor rgb="FF83CCEB"/>
        <bgColor indexed="64"/>
      </patternFill>
    </fill>
    <fill>
      <patternFill patternType="solid">
        <fgColor rgb="FFFF3300"/>
        <bgColor indexed="64"/>
      </patternFill>
    </fill>
    <fill>
      <patternFill patternType="solid">
        <fgColor theme="3"/>
        <bgColor indexed="64"/>
      </patternFill>
    </fill>
    <fill>
      <patternFill patternType="solid">
        <fgColor theme="3" tint="0.89999084444715716"/>
        <bgColor indexed="64"/>
      </patternFill>
    </fill>
    <fill>
      <patternFill patternType="solid">
        <fgColor theme="3" tint="0.749992370372631"/>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DDDDDD"/>
        <bgColor indexed="64"/>
      </patternFill>
    </fill>
    <fill>
      <patternFill patternType="solid">
        <fgColor rgb="FFEEF4FF"/>
        <bgColor indexed="64"/>
      </patternFill>
    </fill>
    <fill>
      <patternFill patternType="solid">
        <fgColor theme="0" tint="-0.14999847407452621"/>
        <bgColor indexed="64"/>
      </patternFill>
    </fill>
    <fill>
      <patternFill patternType="solid">
        <fgColor theme="3" tint="0.249977111117893"/>
        <bgColor indexed="64"/>
      </patternFill>
    </fill>
    <fill>
      <patternFill patternType="solid">
        <fgColor theme="9" tint="-0.249977111117893"/>
        <bgColor indexed="64"/>
      </patternFill>
    </fill>
    <fill>
      <patternFill patternType="solid">
        <fgColor rgb="FFEEEEEE"/>
        <bgColor indexed="64"/>
      </patternFill>
    </fill>
    <fill>
      <patternFill patternType="solid">
        <fgColor rgb="FFDBEAFF"/>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215C98"/>
        <bgColor indexed="64"/>
      </patternFill>
    </fill>
    <fill>
      <patternFill patternType="solid">
        <fgColor rgb="FFF7C7AC"/>
        <bgColor indexed="64"/>
      </patternFill>
    </fill>
  </fills>
  <borders count="132">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diagonalDown="1">
      <left style="thin">
        <color auto="1"/>
      </left>
      <right style="thin">
        <color auto="1"/>
      </right>
      <top style="thin">
        <color auto="1"/>
      </top>
      <bottom style="thin">
        <color auto="1"/>
      </bottom>
      <diagonal style="thin">
        <color auto="1"/>
      </diagonal>
    </border>
    <border>
      <left/>
      <right/>
      <top style="thin">
        <color indexed="64"/>
      </top>
      <bottom style="thin">
        <color indexed="64"/>
      </bottom>
      <diagonal/>
    </border>
    <border>
      <left/>
      <right/>
      <top/>
      <bottom style="thick">
        <color theme="4"/>
      </bottom>
      <diagonal/>
    </border>
    <border>
      <left/>
      <right/>
      <top/>
      <bottom style="thin">
        <color theme="0" tint="-0.249977111117893"/>
      </bottom>
      <diagonal/>
    </border>
    <border>
      <left/>
      <right/>
      <top/>
      <bottom style="dashed">
        <color theme="0" tint="-0.24994659260841701"/>
      </bottom>
      <diagonal/>
    </border>
    <border>
      <left style="thick">
        <color theme="0"/>
      </left>
      <right style="thick">
        <color theme="0"/>
      </right>
      <top/>
      <bottom style="thin">
        <color theme="0" tint="-0.24994659260841701"/>
      </bottom>
      <diagonal/>
    </border>
    <border>
      <left style="medium">
        <color rgb="FFAAAAAA"/>
      </left>
      <right style="medium">
        <color rgb="FFAAAAAA"/>
      </right>
      <top style="medium">
        <color rgb="FFAAAAAA"/>
      </top>
      <bottom style="medium">
        <color rgb="FFAAAAAA"/>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Down="1">
      <left style="medium">
        <color indexed="64"/>
      </left>
      <right style="thin">
        <color auto="1"/>
      </right>
      <top style="thin">
        <color indexed="64"/>
      </top>
      <bottom style="thin">
        <color indexed="64"/>
      </bottom>
      <diagonal style="thin">
        <color auto="1"/>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auto="1"/>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theme="0"/>
      </right>
      <top style="thin">
        <color indexed="64"/>
      </top>
      <bottom style="thin">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top style="thin">
        <color theme="0"/>
      </top>
      <bottom style="thin">
        <color theme="0"/>
      </bottom>
      <diagonal/>
    </border>
    <border>
      <left/>
      <right style="thin">
        <color theme="0"/>
      </right>
      <top/>
      <bottom/>
      <diagonal/>
    </border>
    <border>
      <left style="thin">
        <color theme="0"/>
      </left>
      <right/>
      <top/>
      <bottom/>
      <diagonal/>
    </border>
    <border diagonalDown="1">
      <left style="medium">
        <color indexed="64"/>
      </left>
      <right/>
      <top style="thin">
        <color indexed="64"/>
      </top>
      <bottom/>
      <diagonal style="thin">
        <color indexed="64"/>
      </diagonal>
    </border>
    <border diagonalDown="1">
      <left/>
      <right style="thin">
        <color indexed="64"/>
      </right>
      <top style="thin">
        <color indexed="64"/>
      </top>
      <bottom/>
      <diagonal style="thin">
        <color auto="1"/>
      </diagonal>
    </border>
    <border diagonalDown="1">
      <left style="medium">
        <color indexed="64"/>
      </left>
      <right/>
      <top/>
      <bottom style="thin">
        <color indexed="64"/>
      </bottom>
      <diagonal style="thin">
        <color indexed="64"/>
      </diagonal>
    </border>
    <border diagonalDown="1">
      <left/>
      <right style="thin">
        <color indexed="64"/>
      </right>
      <top/>
      <bottom style="thin">
        <color indexed="64"/>
      </bottom>
      <diagonal style="thin">
        <color auto="1"/>
      </diagonal>
    </border>
    <border>
      <left style="thin">
        <color indexed="64"/>
      </left>
      <right style="medium">
        <color indexed="64"/>
      </right>
      <top/>
      <bottom style="thin">
        <color indexed="64"/>
      </bottom>
      <diagonal/>
    </border>
    <border>
      <left style="medium">
        <color theme="0"/>
      </left>
      <right style="medium">
        <color theme="0"/>
      </right>
      <top style="medium">
        <color theme="0"/>
      </top>
      <bottom style="medium">
        <color theme="0"/>
      </bottom>
      <diagonal/>
    </border>
    <border diagonalDown="1">
      <left style="medium">
        <color indexed="64"/>
      </left>
      <right/>
      <top/>
      <bottom/>
      <diagonal style="thin">
        <color indexed="64"/>
      </diagonal>
    </border>
    <border diagonalDown="1">
      <left/>
      <right style="thin">
        <color indexed="64"/>
      </right>
      <top/>
      <bottom/>
      <diagonal style="thin">
        <color indexed="64"/>
      </diagonal>
    </border>
    <border>
      <left style="medium">
        <color indexed="64"/>
      </left>
      <right style="thin">
        <color indexed="64"/>
      </right>
      <top style="thin">
        <color indexed="64"/>
      </top>
      <bottom/>
      <diagonal/>
    </border>
    <border>
      <left style="medium">
        <color theme="0"/>
      </left>
      <right style="medium">
        <color theme="0"/>
      </right>
      <top/>
      <bottom style="medium">
        <color theme="0"/>
      </bottom>
      <diagonal/>
    </border>
    <border>
      <left style="thin">
        <color theme="0"/>
      </left>
      <right style="thin">
        <color theme="0"/>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rgb="FFAAAAAA"/>
      </right>
      <top style="thin">
        <color indexed="64"/>
      </top>
      <bottom/>
      <diagonal/>
    </border>
    <border>
      <left style="medium">
        <color rgb="FFAAAAAA"/>
      </left>
      <right style="medium">
        <color rgb="FFAAAAAA"/>
      </right>
      <top style="thin">
        <color indexed="64"/>
      </top>
      <bottom/>
      <diagonal/>
    </border>
    <border>
      <left style="medium">
        <color rgb="FFAAAAAA"/>
      </left>
      <right style="medium">
        <color indexed="64"/>
      </right>
      <top style="thin">
        <color indexed="64"/>
      </top>
      <bottom/>
      <diagonal/>
    </border>
    <border>
      <left style="medium">
        <color indexed="64"/>
      </left>
      <right style="medium">
        <color rgb="FFAAAAAA"/>
      </right>
      <top/>
      <bottom/>
      <diagonal/>
    </border>
    <border>
      <left style="medium">
        <color rgb="FFAAAAAA"/>
      </left>
      <right style="medium">
        <color rgb="FFAAAAAA"/>
      </right>
      <top/>
      <bottom style="medium">
        <color rgb="FFAAAAAA"/>
      </bottom>
      <diagonal/>
    </border>
    <border>
      <left style="medium">
        <color rgb="FFAAAAAA"/>
      </left>
      <right style="medium">
        <color indexed="64"/>
      </right>
      <top/>
      <bottom style="medium">
        <color rgb="FFAAAAAA"/>
      </bottom>
      <diagonal/>
    </border>
    <border>
      <left style="medium">
        <color indexed="64"/>
      </left>
      <right style="medium">
        <color rgb="FFAAAAAA"/>
      </right>
      <top/>
      <bottom style="medium">
        <color rgb="FFAAAAAA"/>
      </bottom>
      <diagonal/>
    </border>
    <border>
      <left style="medium">
        <color rgb="FFAAAAAA"/>
      </left>
      <right style="medium">
        <color indexed="64"/>
      </right>
      <top style="medium">
        <color rgb="FFAAAAAA"/>
      </top>
      <bottom style="medium">
        <color rgb="FFAAAAAA"/>
      </bottom>
      <diagonal/>
    </border>
    <border>
      <left style="medium">
        <color indexed="64"/>
      </left>
      <right style="medium">
        <color rgb="FFAAAAAA"/>
      </right>
      <top style="medium">
        <color rgb="FFAAAAAA"/>
      </top>
      <bottom style="medium">
        <color rgb="FFAAAAAA"/>
      </bottom>
      <diagonal/>
    </border>
    <border>
      <left style="medium">
        <color indexed="64"/>
      </left>
      <right style="medium">
        <color rgb="FFAAAAAA"/>
      </right>
      <top style="medium">
        <color rgb="FFAAAAAA"/>
      </top>
      <bottom style="medium">
        <color indexed="64"/>
      </bottom>
      <diagonal/>
    </border>
    <border>
      <left style="medium">
        <color rgb="FFAAAAAA"/>
      </left>
      <right style="medium">
        <color rgb="FFAAAAAA"/>
      </right>
      <top style="medium">
        <color rgb="FFAAAAAA"/>
      </top>
      <bottom style="medium">
        <color indexed="64"/>
      </bottom>
      <diagonal/>
    </border>
    <border>
      <left style="medium">
        <color rgb="FFAAAAAA"/>
      </left>
      <right style="medium">
        <color indexed="64"/>
      </right>
      <top style="medium">
        <color rgb="FFAAAAAA"/>
      </top>
      <bottom style="medium">
        <color indexed="64"/>
      </bottom>
      <diagonal/>
    </border>
    <border>
      <left/>
      <right/>
      <top/>
      <bottom style="thin">
        <color theme="0"/>
      </bottom>
      <diagonal/>
    </border>
    <border>
      <left style="thick">
        <color indexed="64"/>
      </left>
      <right/>
      <top/>
      <bottom style="medium">
        <color indexed="64"/>
      </bottom>
      <diagonal/>
    </border>
    <border>
      <left style="thick">
        <color indexed="64"/>
      </left>
      <right/>
      <top/>
      <bottom/>
      <diagonal/>
    </border>
    <border>
      <left style="thin">
        <color indexed="64"/>
      </left>
      <right style="medium">
        <color indexed="64"/>
      </right>
      <top style="thin">
        <color auto="1"/>
      </top>
      <bottom/>
      <diagonal/>
    </border>
    <border>
      <left style="medium">
        <color indexed="64"/>
      </left>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right style="thin">
        <color theme="0" tint="-0.24994659260841701"/>
      </right>
      <top/>
      <bottom/>
      <diagonal/>
    </border>
    <border>
      <left style="thin">
        <color indexed="64"/>
      </left>
      <right style="thin">
        <color theme="0"/>
      </right>
      <top style="thin">
        <color indexed="64"/>
      </top>
      <bottom/>
      <diagonal/>
    </border>
    <border>
      <left style="thin">
        <color indexed="64"/>
      </left>
      <right style="thin">
        <color theme="0"/>
      </right>
      <top/>
      <bottom/>
      <diagonal/>
    </border>
    <border>
      <left style="thin">
        <color indexed="64"/>
      </left>
      <right style="thin">
        <color theme="0"/>
      </right>
      <top/>
      <bottom style="thin">
        <color indexed="64"/>
      </bottom>
      <diagonal/>
    </border>
    <border>
      <left style="thin">
        <color theme="0"/>
      </left>
      <right style="thin">
        <color theme="0"/>
      </right>
      <top/>
      <bottom style="thin">
        <color auto="1"/>
      </bottom>
      <diagonal/>
    </border>
    <border>
      <left/>
      <right style="thin">
        <color theme="0" tint="-0.24994659260841701"/>
      </right>
      <top/>
      <bottom style="thin">
        <color theme="0" tint="-0.24994659260841701"/>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rgb="FFBEBEBE"/>
      </bottom>
      <diagonal/>
    </border>
    <border>
      <left/>
      <right/>
      <top style="medium">
        <color theme="4"/>
      </top>
      <bottom/>
      <diagonal/>
    </border>
    <border>
      <left/>
      <right/>
      <top style="thin">
        <color theme="4"/>
      </top>
      <bottom style="dashed">
        <color theme="0" tint="-0.24994659260841701"/>
      </bottom>
      <diagonal/>
    </border>
    <border>
      <left/>
      <right/>
      <top style="thin">
        <color theme="4"/>
      </top>
      <bottom style="thin">
        <color theme="0" tint="-0.24994659260841701"/>
      </bottom>
      <diagonal/>
    </border>
    <border>
      <left/>
      <right style="medium">
        <color theme="0"/>
      </right>
      <top/>
      <bottom/>
      <diagonal/>
    </border>
    <border>
      <left/>
      <right/>
      <top style="double">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7">
    <xf numFmtId="0" fontId="0" fillId="0" borderId="0"/>
    <xf numFmtId="0" fontId="1" fillId="0" borderId="0"/>
    <xf numFmtId="0" fontId="2" fillId="0" borderId="0" applyNumberFormat="0" applyFill="0" applyBorder="0" applyAlignment="0" applyProtection="0"/>
    <xf numFmtId="0" fontId="12" fillId="0" borderId="0"/>
    <xf numFmtId="0" fontId="24" fillId="0" borderId="27" applyNumberFormat="0" applyProtection="0">
      <alignment wrapText="1"/>
    </xf>
    <xf numFmtId="0" fontId="25" fillId="0" borderId="28" applyNumberFormat="0" applyFont="0" applyProtection="0">
      <alignment wrapText="1"/>
    </xf>
    <xf numFmtId="0" fontId="24" fillId="0" borderId="26" applyNumberFormat="0" applyProtection="0">
      <alignment wrapText="1"/>
    </xf>
    <xf numFmtId="0" fontId="24" fillId="0" borderId="29" applyNumberFormat="0" applyProtection="0">
      <alignment horizontal="left" wrapText="1"/>
    </xf>
    <xf numFmtId="43" fontId="82" fillId="0" borderId="0" applyFont="0" applyFill="0" applyBorder="0" applyAlignment="0" applyProtection="0"/>
    <xf numFmtId="0" fontId="24" fillId="0" borderId="123" applyNumberFormat="0" applyFill="0" applyProtection="0">
      <alignment wrapText="1"/>
    </xf>
    <xf numFmtId="0" fontId="25" fillId="0" borderId="121" applyNumberFormat="0" applyProtection="0">
      <alignment vertical="top" wrapText="1"/>
    </xf>
    <xf numFmtId="0" fontId="25" fillId="0" borderId="122" applyNumberFormat="0" applyFont="0" applyFill="0" applyProtection="0">
      <alignment wrapText="1"/>
    </xf>
    <xf numFmtId="0" fontId="25" fillId="0" borderId="0" applyNumberFormat="0" applyFill="0" applyBorder="0" applyAlignment="0" applyProtection="0"/>
    <xf numFmtId="0" fontId="8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25" fillId="0" borderId="0" applyNumberFormat="0" applyProtection="0">
      <alignment vertical="top" wrapText="1"/>
    </xf>
    <xf numFmtId="0" fontId="88" fillId="0" borderId="0" applyNumberFormat="0" applyProtection="0">
      <alignment horizontal="left"/>
    </xf>
  </cellStyleXfs>
  <cellXfs count="1391">
    <xf numFmtId="0" fontId="0" fillId="0" borderId="0" xfId="0"/>
    <xf numFmtId="0" fontId="2" fillId="0" borderId="0" xfId="2"/>
    <xf numFmtId="0" fontId="4" fillId="0" borderId="0" xfId="0" applyFont="1" applyAlignment="1">
      <alignment horizontal="center" vertical="center" wrapText="1"/>
    </xf>
    <xf numFmtId="0" fontId="6" fillId="0" borderId="0" xfId="0" applyFont="1" applyAlignment="1">
      <alignment horizontal="left" vertical="top" wrapText="1"/>
    </xf>
    <xf numFmtId="0" fontId="7" fillId="0" borderId="0" xfId="0" applyFont="1" applyAlignment="1">
      <alignment horizontal="center" vertical="center" wrapText="1"/>
    </xf>
    <xf numFmtId="0" fontId="6" fillId="0" borderId="0" xfId="0" applyFont="1"/>
    <xf numFmtId="0" fontId="4" fillId="0" borderId="0" xfId="0" applyFont="1" applyAlignment="1">
      <alignment vertical="center"/>
    </xf>
    <xf numFmtId="0" fontId="4" fillId="0" borderId="0" xfId="0" applyFont="1" applyAlignment="1">
      <alignment vertical="center" wrapText="1"/>
    </xf>
    <xf numFmtId="0" fontId="8" fillId="0" borderId="0" xfId="0" applyFont="1"/>
    <xf numFmtId="0" fontId="9" fillId="0" borderId="0" xfId="2" applyFont="1"/>
    <xf numFmtId="0" fontId="8" fillId="0" borderId="0" xfId="0" applyFont="1" applyAlignment="1">
      <alignment vertical="center" wrapText="1"/>
    </xf>
    <xf numFmtId="0" fontId="4" fillId="0" borderId="0" xfId="0" applyFont="1" applyAlignment="1">
      <alignment horizontal="left" vertical="center" indent="1"/>
    </xf>
    <xf numFmtId="0" fontId="11" fillId="0" borderId="0" xfId="0" applyFont="1" applyAlignment="1">
      <alignment vertical="center" wrapText="1"/>
    </xf>
    <xf numFmtId="0" fontId="10" fillId="0" borderId="0" xfId="0" applyFont="1" applyAlignment="1">
      <alignment horizontal="center" vertical="center" wrapText="1"/>
    </xf>
    <xf numFmtId="0" fontId="6" fillId="0" borderId="0" xfId="0" applyFont="1" applyAlignment="1">
      <alignment horizontal="left" vertical="center" indent="1"/>
    </xf>
    <xf numFmtId="0" fontId="7" fillId="0" borderId="0" xfId="0" applyFont="1" applyAlignment="1">
      <alignment horizontal="left" vertical="center" indent="1"/>
    </xf>
    <xf numFmtId="0" fontId="8" fillId="0" borderId="0" xfId="0" applyFont="1" applyAlignment="1">
      <alignment horizontal="left" vertical="center" indent="1"/>
    </xf>
    <xf numFmtId="0" fontId="4" fillId="0" borderId="0" xfId="0" applyFont="1" applyAlignment="1">
      <alignment horizontal="left" vertical="center" indent="2"/>
    </xf>
    <xf numFmtId="0" fontId="8" fillId="0" borderId="0" xfId="0" applyFont="1" applyAlignment="1">
      <alignment horizontal="left" vertical="center" indent="3"/>
    </xf>
    <xf numFmtId="168" fontId="6" fillId="0" borderId="0" xfId="0" applyNumberFormat="1" applyFont="1"/>
    <xf numFmtId="0" fontId="7" fillId="0" borderId="0" xfId="0" applyFont="1"/>
    <xf numFmtId="168" fontId="7" fillId="0" borderId="0" xfId="0" applyNumberFormat="1" applyFont="1"/>
    <xf numFmtId="0" fontId="7"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horizontal="center" vertical="center"/>
    </xf>
    <xf numFmtId="0" fontId="6" fillId="0" borderId="0" xfId="0" applyFont="1" applyAlignment="1">
      <alignment horizontal="left" vertical="top"/>
    </xf>
    <xf numFmtId="0" fontId="6" fillId="0" borderId="3" xfId="0" applyFont="1" applyBorder="1"/>
    <xf numFmtId="0" fontId="6" fillId="0" borderId="6" xfId="0" applyFont="1" applyBorder="1"/>
    <xf numFmtId="0" fontId="6" fillId="0" borderId="5" xfId="0" applyFont="1" applyBorder="1"/>
    <xf numFmtId="0" fontId="6" fillId="0" borderId="7" xfId="0" applyFont="1" applyBorder="1"/>
    <xf numFmtId="0" fontId="13" fillId="0" borderId="0" xfId="2" applyFont="1"/>
    <xf numFmtId="0" fontId="6" fillId="0" borderId="12" xfId="0" applyFont="1" applyBorder="1"/>
    <xf numFmtId="0" fontId="6" fillId="0" borderId="0" xfId="0" applyFont="1" applyAlignment="1">
      <alignment wrapText="1"/>
    </xf>
    <xf numFmtId="0" fontId="6" fillId="0" borderId="4" xfId="0" applyFont="1" applyBorder="1" applyAlignment="1">
      <alignment wrapText="1"/>
    </xf>
    <xf numFmtId="0" fontId="7" fillId="0" borderId="4" xfId="0" applyFont="1" applyBorder="1" applyAlignment="1">
      <alignment wrapText="1"/>
    </xf>
    <xf numFmtId="0" fontId="6" fillId="0" borderId="4" xfId="0" applyFont="1" applyBorder="1" applyAlignment="1">
      <alignment horizontal="left" vertical="center" wrapText="1"/>
    </xf>
    <xf numFmtId="0" fontId="13" fillId="0" borderId="4" xfId="2" applyFont="1" applyBorder="1" applyAlignment="1">
      <alignment wrapText="1"/>
    </xf>
    <xf numFmtId="0" fontId="7" fillId="0" borderId="4" xfId="0" applyFont="1" applyBorder="1" applyAlignment="1">
      <alignment horizontal="left" vertical="center" wrapText="1"/>
    </xf>
    <xf numFmtId="0" fontId="13" fillId="0" borderId="4" xfId="2" applyFont="1" applyBorder="1" applyAlignment="1">
      <alignment horizontal="left" vertical="center" wrapText="1"/>
    </xf>
    <xf numFmtId="0" fontId="15" fillId="0" borderId="0" xfId="0" applyFont="1" applyAlignment="1">
      <alignment horizontal="left" vertical="center" indent="2"/>
    </xf>
    <xf numFmtId="0" fontId="13" fillId="0" borderId="0" xfId="2" applyFont="1" applyAlignment="1">
      <alignment horizontal="left" vertical="center" indent="2"/>
    </xf>
    <xf numFmtId="165" fontId="6" fillId="0" borderId="0" xfId="0" applyNumberFormat="1" applyFont="1"/>
    <xf numFmtId="0" fontId="6" fillId="0" borderId="0" xfId="0" applyFont="1" applyAlignment="1">
      <alignment vertical="center"/>
    </xf>
    <xf numFmtId="10" fontId="6" fillId="0" borderId="0" xfId="0" applyNumberFormat="1" applyFont="1" applyAlignment="1">
      <alignment vertical="center"/>
    </xf>
    <xf numFmtId="0" fontId="6" fillId="0" borderId="2" xfId="0" applyFont="1" applyBorder="1"/>
    <xf numFmtId="0" fontId="6" fillId="0" borderId="10" xfId="0" applyFont="1" applyBorder="1"/>
    <xf numFmtId="0" fontId="6" fillId="0" borderId="11" xfId="0" applyFont="1" applyBorder="1"/>
    <xf numFmtId="0" fontId="18" fillId="2" borderId="12" xfId="0" applyFont="1" applyFill="1" applyBorder="1" applyAlignment="1">
      <alignment horizontal="center" wrapText="1"/>
    </xf>
    <xf numFmtId="0" fontId="20" fillId="11" borderId="12" xfId="0" applyFont="1" applyFill="1" applyBorder="1" applyAlignment="1">
      <alignment vertical="top" wrapText="1"/>
    </xf>
    <xf numFmtId="0" fontId="22" fillId="11" borderId="12" xfId="0" applyFont="1" applyFill="1" applyBorder="1" applyAlignment="1">
      <alignment vertical="top" wrapText="1"/>
    </xf>
    <xf numFmtId="0" fontId="15" fillId="0" borderId="0" xfId="0" applyFont="1"/>
    <xf numFmtId="0" fontId="6" fillId="0" borderId="12" xfId="0" applyFont="1" applyBorder="1" applyAlignment="1">
      <alignment horizontal="center" vertical="center" wrapText="1"/>
    </xf>
    <xf numFmtId="0" fontId="8" fillId="0" borderId="0" xfId="0" applyFont="1" applyAlignment="1">
      <alignment vertical="center"/>
    </xf>
    <xf numFmtId="0" fontId="6" fillId="14" borderId="31" xfId="0" applyFont="1" applyFill="1" applyBorder="1" applyAlignment="1">
      <alignment wrapText="1"/>
    </xf>
    <xf numFmtId="0" fontId="6" fillId="14" borderId="32" xfId="0" applyFont="1" applyFill="1" applyBorder="1" applyAlignment="1">
      <alignment wrapText="1"/>
    </xf>
    <xf numFmtId="0" fontId="6" fillId="14" borderId="33" xfId="0" applyFont="1" applyFill="1" applyBorder="1" applyAlignment="1">
      <alignment wrapText="1"/>
    </xf>
    <xf numFmtId="0" fontId="6" fillId="14" borderId="34" xfId="0" applyFont="1" applyFill="1" applyBorder="1" applyAlignment="1">
      <alignment wrapText="1"/>
    </xf>
    <xf numFmtId="0" fontId="6" fillId="0" borderId="39" xfId="0" applyFont="1" applyBorder="1"/>
    <xf numFmtId="0" fontId="6" fillId="0" borderId="41" xfId="0" applyFont="1" applyBorder="1"/>
    <xf numFmtId="0" fontId="6" fillId="0" borderId="43" xfId="0" applyFont="1" applyBorder="1"/>
    <xf numFmtId="0" fontId="6" fillId="0" borderId="44" xfId="0" applyFont="1" applyBorder="1"/>
    <xf numFmtId="0" fontId="6" fillId="0" borderId="42" xfId="0" applyFont="1" applyBorder="1"/>
    <xf numFmtId="0" fontId="7" fillId="0" borderId="0" xfId="0" applyFont="1" applyAlignment="1">
      <alignment vertical="center"/>
    </xf>
    <xf numFmtId="0" fontId="7" fillId="0" borderId="0" xfId="0" applyFont="1" applyAlignment="1">
      <alignment horizontal="center"/>
    </xf>
    <xf numFmtId="0" fontId="34" fillId="0" borderId="0" xfId="0" applyFont="1"/>
    <xf numFmtId="165" fontId="4" fillId="0" borderId="0" xfId="0" applyNumberFormat="1" applyFont="1"/>
    <xf numFmtId="168" fontId="4" fillId="0" borderId="0" xfId="0" applyNumberFormat="1" applyFont="1"/>
    <xf numFmtId="168" fontId="6" fillId="0" borderId="0" xfId="0" applyNumberFormat="1" applyFont="1" applyAlignment="1">
      <alignment horizontal="center" vertical="center"/>
    </xf>
    <xf numFmtId="0" fontId="37" fillId="0" borderId="0" xfId="0" applyFont="1"/>
    <xf numFmtId="0" fontId="35" fillId="0" borderId="11" xfId="0" applyFont="1" applyBorder="1" applyAlignment="1">
      <alignment vertical="center"/>
    </xf>
    <xf numFmtId="0" fontId="5" fillId="12" borderId="4" xfId="0" applyFont="1" applyFill="1" applyBorder="1" applyAlignment="1">
      <alignment horizontal="center" vertical="center"/>
    </xf>
    <xf numFmtId="0" fontId="33" fillId="19" borderId="53" xfId="0" applyFont="1" applyFill="1" applyBorder="1" applyAlignment="1">
      <alignment horizontal="center" vertical="center"/>
    </xf>
    <xf numFmtId="0" fontId="6" fillId="0" borderId="40" xfId="0" applyFont="1" applyBorder="1"/>
    <xf numFmtId="0" fontId="23" fillId="17" borderId="9" xfId="0" applyFont="1" applyFill="1" applyBorder="1" applyAlignment="1">
      <alignment horizontal="center" vertical="center" wrapText="1"/>
    </xf>
    <xf numFmtId="0" fontId="6" fillId="0" borderId="0" xfId="0" applyFont="1" applyAlignment="1">
      <alignment horizontal="left" vertical="top" indent="6"/>
    </xf>
    <xf numFmtId="0" fontId="36" fillId="0" borderId="0" xfId="0" applyFont="1" applyAlignment="1">
      <alignment horizontal="left" vertical="center" wrapText="1"/>
    </xf>
    <xf numFmtId="0" fontId="6" fillId="0" borderId="0" xfId="0" applyFont="1" applyAlignment="1">
      <alignment vertical="top"/>
    </xf>
    <xf numFmtId="0" fontId="39" fillId="0" borderId="0" xfId="0" applyFont="1" applyAlignment="1">
      <alignment horizontal="center" vertical="center"/>
    </xf>
    <xf numFmtId="0" fontId="40" fillId="0" borderId="42" xfId="0" applyFont="1" applyBorder="1" applyAlignment="1">
      <alignment vertical="center"/>
    </xf>
    <xf numFmtId="0" fontId="39" fillId="0" borderId="0" xfId="0" applyFont="1" applyAlignment="1">
      <alignment horizontal="left" vertical="center" shrinkToFit="1"/>
    </xf>
    <xf numFmtId="0" fontId="39" fillId="0" borderId="42" xfId="0" applyFont="1" applyBorder="1" applyAlignment="1">
      <alignment horizontal="left" vertical="center" shrinkToFit="1"/>
    </xf>
    <xf numFmtId="0" fontId="6" fillId="0" borderId="0" xfId="0" applyFont="1" applyAlignment="1">
      <alignment horizontal="left" vertical="center" wrapText="1"/>
    </xf>
    <xf numFmtId="0" fontId="7" fillId="0" borderId="60" xfId="0" applyFont="1" applyBorder="1" applyAlignment="1">
      <alignment horizontal="center"/>
    </xf>
    <xf numFmtId="0" fontId="7" fillId="0" borderId="61" xfId="0" applyFont="1" applyBorder="1" applyAlignment="1">
      <alignment horizontal="center"/>
    </xf>
    <xf numFmtId="0" fontId="4" fillId="0" borderId="62" xfId="0" applyFont="1" applyBorder="1" applyAlignment="1">
      <alignment horizontal="center"/>
    </xf>
    <xf numFmtId="0" fontId="34" fillId="12" borderId="12" xfId="0" applyFont="1" applyFill="1" applyBorder="1" applyAlignment="1">
      <alignment horizontal="center" vertical="center" wrapText="1"/>
    </xf>
    <xf numFmtId="0" fontId="42" fillId="0" borderId="12" xfId="0" applyFont="1" applyBorder="1" applyAlignment="1">
      <alignment horizontal="center" vertical="center" wrapText="1"/>
    </xf>
    <xf numFmtId="0" fontId="42" fillId="0" borderId="0" xfId="0" applyFont="1"/>
    <xf numFmtId="0" fontId="42" fillId="0" borderId="0" xfId="0" applyFont="1" applyAlignment="1">
      <alignment wrapText="1"/>
    </xf>
    <xf numFmtId="0" fontId="42" fillId="0" borderId="0" xfId="0" applyFont="1" applyAlignment="1">
      <alignment vertical="top" wrapText="1"/>
    </xf>
    <xf numFmtId="0" fontId="42" fillId="0" borderId="0" xfId="0" applyFont="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center" vertical="center" wrapText="1"/>
    </xf>
    <xf numFmtId="0" fontId="35" fillId="0" borderId="0" xfId="0" applyFont="1"/>
    <xf numFmtId="0" fontId="42" fillId="0" borderId="0" xfId="0" applyFont="1" applyAlignment="1">
      <alignment vertical="top" textRotation="90" wrapText="1"/>
    </xf>
    <xf numFmtId="168" fontId="42" fillId="0" borderId="0" xfId="0" applyNumberFormat="1" applyFont="1"/>
    <xf numFmtId="0" fontId="43" fillId="0" borderId="0" xfId="2" applyFont="1"/>
    <xf numFmtId="0" fontId="34" fillId="0" borderId="0" xfId="0" applyFont="1" applyAlignment="1">
      <alignment horizontal="center" vertical="center"/>
    </xf>
    <xf numFmtId="0" fontId="34" fillId="0" borderId="0" xfId="0" applyFont="1" applyAlignment="1">
      <alignment horizontal="center" wrapText="1"/>
    </xf>
    <xf numFmtId="0" fontId="34" fillId="0" borderId="0" xfId="0" applyFont="1" applyAlignment="1">
      <alignment vertical="center"/>
    </xf>
    <xf numFmtId="0" fontId="34" fillId="0" borderId="0" xfId="0" applyFont="1" applyAlignment="1">
      <alignment horizontal="left" vertical="center" indent="1"/>
    </xf>
    <xf numFmtId="168" fontId="34" fillId="0" borderId="0" xfId="0" applyNumberFormat="1" applyFont="1"/>
    <xf numFmtId="0" fontId="34" fillId="0" borderId="0" xfId="0" applyFont="1" applyAlignment="1">
      <alignment horizontal="center" vertical="center" wrapText="1"/>
    </xf>
    <xf numFmtId="0" fontId="34" fillId="0" borderId="0" xfId="0" applyFont="1" applyAlignment="1">
      <alignment vertical="center" wrapText="1"/>
    </xf>
    <xf numFmtId="0" fontId="42" fillId="0" borderId="0" xfId="0" applyFont="1" applyAlignment="1">
      <alignment horizontal="left" vertical="center" indent="1"/>
    </xf>
    <xf numFmtId="3" fontId="34" fillId="0" borderId="0" xfId="0" applyNumberFormat="1" applyFont="1"/>
    <xf numFmtId="168" fontId="34" fillId="0" borderId="0" xfId="0" applyNumberFormat="1" applyFont="1" applyAlignment="1">
      <alignment vertical="center" wrapText="1"/>
    </xf>
    <xf numFmtId="165" fontId="42" fillId="0" borderId="0" xfId="0" applyNumberFormat="1" applyFont="1"/>
    <xf numFmtId="0" fontId="42" fillId="0" borderId="0" xfId="0" applyFont="1" applyAlignment="1">
      <alignment horizontal="center" vertical="center"/>
    </xf>
    <xf numFmtId="167" fontId="42" fillId="0" borderId="0" xfId="0" applyNumberFormat="1" applyFont="1"/>
    <xf numFmtId="166" fontId="42" fillId="0" borderId="0" xfId="0" applyNumberFormat="1" applyFont="1"/>
    <xf numFmtId="0" fontId="11" fillId="0" borderId="0" xfId="0" applyFont="1" applyAlignment="1">
      <alignment horizontal="right" vertical="center" wrapText="1"/>
    </xf>
    <xf numFmtId="6" fontId="42" fillId="0" borderId="0" xfId="0" applyNumberFormat="1" applyFont="1"/>
    <xf numFmtId="0" fontId="44" fillId="0" borderId="0" xfId="0" applyFont="1" applyAlignment="1">
      <alignment horizontal="center" vertical="center"/>
    </xf>
    <xf numFmtId="0" fontId="42" fillId="0" borderId="0" xfId="0" applyFont="1" applyAlignment="1">
      <alignment horizontal="left" vertical="center" wrapText="1" indent="1"/>
    </xf>
    <xf numFmtId="0" fontId="34" fillId="0" borderId="0" xfId="0" applyFont="1" applyAlignment="1">
      <alignment horizontal="left" vertical="center" wrapText="1" indent="1"/>
    </xf>
    <xf numFmtId="0" fontId="34" fillId="0" borderId="0" xfId="0" applyFont="1" applyAlignment="1">
      <alignment horizontal="left" vertical="center"/>
    </xf>
    <xf numFmtId="0" fontId="8" fillId="0" borderId="0" xfId="0" applyFont="1" applyAlignment="1">
      <alignment horizontal="left" vertical="center" wrapText="1" indent="2"/>
    </xf>
    <xf numFmtId="0" fontId="39" fillId="17" borderId="25" xfId="0" applyFont="1" applyFill="1" applyBorder="1" applyAlignment="1">
      <alignment horizontal="center" vertical="center" wrapText="1"/>
    </xf>
    <xf numFmtId="0" fontId="39" fillId="17" borderId="9" xfId="0" applyFont="1" applyFill="1" applyBorder="1" applyAlignment="1">
      <alignment horizontal="center" vertical="center" wrapText="1"/>
    </xf>
    <xf numFmtId="0" fontId="39" fillId="17" borderId="53" xfId="0" applyFont="1" applyFill="1" applyBorder="1" applyAlignment="1">
      <alignment horizontal="center" vertical="center" wrapText="1"/>
    </xf>
    <xf numFmtId="0" fontId="39" fillId="17" borderId="1" xfId="0" applyFont="1" applyFill="1" applyBorder="1" applyAlignment="1">
      <alignment horizontal="center" vertical="center" wrapText="1"/>
    </xf>
    <xf numFmtId="0" fontId="2" fillId="0" borderId="0" xfId="2" applyAlignment="1">
      <alignment wrapText="1"/>
    </xf>
    <xf numFmtId="0" fontId="6" fillId="0" borderId="1" xfId="0" applyFont="1" applyBorder="1" applyAlignment="1">
      <alignment vertical="center"/>
    </xf>
    <xf numFmtId="0" fontId="6" fillId="0" borderId="4" xfId="0" applyFont="1" applyBorder="1" applyAlignment="1">
      <alignment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42" fillId="0" borderId="0" xfId="0" applyFont="1" applyAlignment="1">
      <alignment horizontal="center" wrapText="1"/>
    </xf>
    <xf numFmtId="0" fontId="7" fillId="0" borderId="0" xfId="0" applyFont="1" applyAlignment="1">
      <alignment horizontal="left" vertical="center" wrapText="1"/>
    </xf>
    <xf numFmtId="0" fontId="40" fillId="0" borderId="39" xfId="0" applyFont="1" applyBorder="1" applyAlignment="1">
      <alignment vertical="center"/>
    </xf>
    <xf numFmtId="0" fontId="40" fillId="0" borderId="44" xfId="0" applyFont="1" applyBorder="1" applyAlignment="1">
      <alignment vertical="center"/>
    </xf>
    <xf numFmtId="0" fontId="6" fillId="0" borderId="63" xfId="0" applyFont="1" applyBorder="1"/>
    <xf numFmtId="0" fontId="7" fillId="0" borderId="63" xfId="0" applyFont="1" applyBorder="1" applyAlignment="1">
      <alignment vertical="center" wrapText="1"/>
    </xf>
    <xf numFmtId="0" fontId="6" fillId="0" borderId="64" xfId="0" applyFont="1" applyBorder="1"/>
    <xf numFmtId="0" fontId="14" fillId="0" borderId="39" xfId="0" applyFont="1" applyBorder="1"/>
    <xf numFmtId="0" fontId="7" fillId="0" borderId="41" xfId="0" applyFont="1" applyBorder="1" applyAlignment="1">
      <alignment vertical="center" wrapText="1"/>
    </xf>
    <xf numFmtId="0" fontId="23" fillId="17" borderId="20" xfId="0" applyFont="1" applyFill="1" applyBorder="1" applyAlignment="1">
      <alignment horizontal="center" vertical="center" wrapText="1"/>
    </xf>
    <xf numFmtId="0" fontId="28" fillId="12" borderId="20" xfId="0" applyFont="1" applyFill="1" applyBorder="1" applyAlignment="1">
      <alignment horizontal="center" vertical="center" wrapText="1"/>
    </xf>
    <xf numFmtId="0" fontId="28" fillId="12" borderId="21" xfId="0" applyFont="1" applyFill="1" applyBorder="1" applyAlignment="1">
      <alignment horizontal="center" vertical="center" wrapText="1"/>
    </xf>
    <xf numFmtId="168" fontId="48" fillId="9" borderId="9" xfId="0" applyNumberFormat="1" applyFont="1" applyFill="1" applyBorder="1" applyAlignment="1">
      <alignment horizontal="center" vertical="center" wrapText="1"/>
    </xf>
    <xf numFmtId="168" fontId="48" fillId="0" borderId="9" xfId="0" applyNumberFormat="1" applyFont="1" applyBorder="1" applyAlignment="1">
      <alignment horizontal="center" vertical="center" wrapText="1"/>
    </xf>
    <xf numFmtId="168" fontId="48" fillId="9" borderId="70" xfId="0" applyNumberFormat="1" applyFont="1" applyFill="1" applyBorder="1" applyAlignment="1">
      <alignment horizontal="center" vertical="center" wrapText="1"/>
    </xf>
    <xf numFmtId="168" fontId="48" fillId="9" borderId="12" xfId="0" applyNumberFormat="1" applyFont="1" applyFill="1" applyBorder="1" applyAlignment="1">
      <alignment horizontal="center" vertical="center" wrapText="1"/>
    </xf>
    <xf numFmtId="168" fontId="48" fillId="0" borderId="12" xfId="0" applyNumberFormat="1" applyFont="1" applyBorder="1" applyAlignment="1">
      <alignment horizontal="center" vertical="center" wrapText="1"/>
    </xf>
    <xf numFmtId="168" fontId="48" fillId="9" borderId="18" xfId="0" applyNumberFormat="1" applyFont="1" applyFill="1" applyBorder="1" applyAlignment="1">
      <alignment horizontal="center" vertical="center" wrapText="1"/>
    </xf>
    <xf numFmtId="168" fontId="48" fillId="9" borderId="20" xfId="0" applyNumberFormat="1" applyFont="1" applyFill="1" applyBorder="1" applyAlignment="1">
      <alignment horizontal="center" vertical="center" wrapText="1"/>
    </xf>
    <xf numFmtId="0" fontId="6" fillId="0" borderId="71" xfId="0" applyFont="1" applyBorder="1"/>
    <xf numFmtId="0" fontId="28" fillId="12" borderId="12" xfId="0" applyFont="1" applyFill="1" applyBorder="1" applyAlignment="1">
      <alignment horizontal="center" vertical="center" wrapText="1"/>
    </xf>
    <xf numFmtId="0" fontId="28" fillId="12" borderId="18" xfId="0" applyFont="1" applyFill="1" applyBorder="1" applyAlignment="1">
      <alignment horizontal="center" vertical="center" wrapText="1"/>
    </xf>
    <xf numFmtId="0" fontId="28" fillId="12" borderId="8" xfId="0" applyFont="1" applyFill="1" applyBorder="1" applyAlignment="1">
      <alignment horizontal="center" vertical="center" wrapText="1"/>
    </xf>
    <xf numFmtId="168" fontId="48" fillId="0" borderId="18" xfId="0" applyNumberFormat="1" applyFont="1" applyBorder="1" applyAlignment="1">
      <alignment horizontal="center" vertical="center" wrapText="1"/>
    </xf>
    <xf numFmtId="0" fontId="6" fillId="0" borderId="49" xfId="0" applyFont="1" applyBorder="1"/>
    <xf numFmtId="0" fontId="28" fillId="12" borderId="23" xfId="0" applyFont="1" applyFill="1" applyBorder="1" applyAlignment="1">
      <alignment horizontal="center" vertical="center" wrapText="1"/>
    </xf>
    <xf numFmtId="0" fontId="28" fillId="12" borderId="55" xfId="0" applyFont="1" applyFill="1" applyBorder="1" applyAlignment="1">
      <alignment horizontal="center" vertical="center" wrapText="1"/>
    </xf>
    <xf numFmtId="0" fontId="6" fillId="0" borderId="48" xfId="0" applyFont="1" applyBorder="1"/>
    <xf numFmtId="0" fontId="6" fillId="0" borderId="75" xfId="0" applyFont="1" applyBorder="1"/>
    <xf numFmtId="0" fontId="39" fillId="0" borderId="71" xfId="0" applyFont="1" applyBorder="1" applyAlignment="1">
      <alignment vertical="center"/>
    </xf>
    <xf numFmtId="0" fontId="6" fillId="0" borderId="76" xfId="0" applyFont="1" applyBorder="1"/>
    <xf numFmtId="0" fontId="6" fillId="0" borderId="0" xfId="0" applyFont="1" applyAlignment="1">
      <alignment horizontal="center"/>
    </xf>
    <xf numFmtId="0" fontId="6" fillId="0" borderId="0" xfId="0" applyFont="1" applyAlignment="1">
      <alignment horizontal="center" vertical="center"/>
    </xf>
    <xf numFmtId="0" fontId="6" fillId="0" borderId="0" xfId="0" quotePrefix="1" applyFont="1" applyAlignment="1">
      <alignment wrapText="1"/>
    </xf>
    <xf numFmtId="0" fontId="13" fillId="0" borderId="0" xfId="2" applyFont="1" applyAlignment="1">
      <alignment vertical="center"/>
    </xf>
    <xf numFmtId="0" fontId="7" fillId="0" borderId="0" xfId="0" applyFont="1" applyAlignment="1">
      <alignment horizontal="left" vertical="top"/>
    </xf>
    <xf numFmtId="1" fontId="49" fillId="0" borderId="0" xfId="2" applyNumberFormat="1" applyFont="1" applyAlignment="1">
      <alignment horizontal="center" vertical="center"/>
    </xf>
    <xf numFmtId="0" fontId="13" fillId="0" borderId="0" xfId="2" applyFont="1" applyAlignment="1">
      <alignment horizontal="center" vertical="center"/>
    </xf>
    <xf numFmtId="0" fontId="50" fillId="0" borderId="0" xfId="2" applyFont="1" applyAlignment="1">
      <alignment horizontal="center" vertical="center"/>
    </xf>
    <xf numFmtId="0" fontId="50" fillId="0" borderId="0" xfId="0" applyFont="1" applyAlignment="1">
      <alignment horizontal="center"/>
    </xf>
    <xf numFmtId="0" fontId="13" fillId="0" borderId="0" xfId="2" applyFont="1" applyFill="1"/>
    <xf numFmtId="0" fontId="6" fillId="0" borderId="0" xfId="0" applyFont="1" applyAlignment="1">
      <alignment horizontal="left"/>
    </xf>
    <xf numFmtId="0" fontId="13" fillId="0" borderId="0" xfId="2" applyFont="1" applyFill="1" applyAlignment="1">
      <alignment vertical="center"/>
    </xf>
    <xf numFmtId="0" fontId="7" fillId="0" borderId="17" xfId="0" applyFont="1" applyBorder="1"/>
    <xf numFmtId="0" fontId="7" fillId="0" borderId="19" xfId="0" applyFont="1" applyBorder="1"/>
    <xf numFmtId="0" fontId="45" fillId="0" borderId="0" xfId="0" applyFont="1" applyAlignment="1">
      <alignment horizontal="center" vertical="center" wrapText="1"/>
    </xf>
    <xf numFmtId="164" fontId="42" fillId="0" borderId="0" xfId="0" applyNumberFormat="1" applyFont="1" applyAlignment="1">
      <alignment horizontal="center" wrapText="1"/>
    </xf>
    <xf numFmtId="0" fontId="42" fillId="0" borderId="77" xfId="0" applyFont="1" applyBorder="1"/>
    <xf numFmtId="0" fontId="34" fillId="0" borderId="17" xfId="0" applyFont="1" applyBorder="1" applyAlignment="1">
      <alignment horizontal="center" vertical="center"/>
    </xf>
    <xf numFmtId="0" fontId="51" fillId="15" borderId="30" xfId="0" applyFont="1" applyFill="1" applyBorder="1" applyAlignment="1">
      <alignment horizontal="center" wrapText="1"/>
    </xf>
    <xf numFmtId="0" fontId="51" fillId="15" borderId="92" xfId="0" applyFont="1" applyFill="1" applyBorder="1" applyAlignment="1">
      <alignment horizontal="center" wrapText="1"/>
    </xf>
    <xf numFmtId="0" fontId="10" fillId="0" borderId="0" xfId="0" applyFont="1" applyAlignment="1">
      <alignment horizontal="center" wrapText="1"/>
    </xf>
    <xf numFmtId="0" fontId="28" fillId="12" borderId="9" xfId="0" applyFont="1" applyFill="1" applyBorder="1" applyAlignment="1">
      <alignment horizontal="center" vertical="center" wrapText="1"/>
    </xf>
    <xf numFmtId="0" fontId="28" fillId="12" borderId="70" xfId="0" applyFont="1" applyFill="1" applyBorder="1" applyAlignment="1">
      <alignment horizontal="center" vertical="center" wrapText="1"/>
    </xf>
    <xf numFmtId="0" fontId="39" fillId="12" borderId="12" xfId="0" applyFont="1" applyFill="1" applyBorder="1" applyAlignment="1">
      <alignment horizontal="center" vertical="center"/>
    </xf>
    <xf numFmtId="0" fontId="39" fillId="12" borderId="12" xfId="0" applyFont="1" applyFill="1" applyBorder="1" applyAlignment="1">
      <alignment horizontal="center" vertical="center" wrapText="1"/>
    </xf>
    <xf numFmtId="0" fontId="6" fillId="0" borderId="97" xfId="0" applyFont="1" applyBorder="1"/>
    <xf numFmtId="0" fontId="53" fillId="0" borderId="0" xfId="0" applyFont="1"/>
    <xf numFmtId="0" fontId="7" fillId="0" borderId="22" xfId="0" applyFont="1" applyBorder="1" applyAlignment="1">
      <alignment horizontal="center" vertical="center"/>
    </xf>
    <xf numFmtId="0" fontId="7" fillId="0" borderId="25" xfId="0" applyFont="1" applyBorder="1" applyAlignment="1">
      <alignment horizontal="center" vertical="center" wrapText="1"/>
    </xf>
    <xf numFmtId="0" fontId="7" fillId="0" borderId="25" xfId="0" applyFont="1" applyBorder="1" applyAlignment="1">
      <alignment horizontal="center" vertical="center"/>
    </xf>
    <xf numFmtId="0" fontId="7" fillId="0" borderId="23" xfId="0" applyFont="1" applyBorder="1" applyAlignment="1">
      <alignment vertical="center"/>
    </xf>
    <xf numFmtId="0" fontId="7" fillId="17" borderId="99" xfId="0" applyFont="1" applyFill="1" applyBorder="1" applyAlignment="1">
      <alignment horizontal="center" vertical="center"/>
    </xf>
    <xf numFmtId="38" fontId="7" fillId="17" borderId="0" xfId="0" quotePrefix="1" applyNumberFormat="1" applyFont="1" applyFill="1" applyAlignment="1">
      <alignment horizontal="center" vertical="center"/>
    </xf>
    <xf numFmtId="0" fontId="7" fillId="17" borderId="0" xfId="0" applyFont="1" applyFill="1" applyAlignment="1">
      <alignment horizontal="center"/>
    </xf>
    <xf numFmtId="0" fontId="7" fillId="17" borderId="78" xfId="0" applyFont="1" applyFill="1" applyBorder="1" applyAlignment="1">
      <alignment horizontal="center"/>
    </xf>
    <xf numFmtId="0" fontId="13" fillId="0" borderId="0" xfId="2" applyFont="1" applyBorder="1"/>
    <xf numFmtId="0" fontId="6" fillId="0" borderId="0" xfId="0" applyFont="1" applyAlignment="1">
      <alignment horizontal="left" vertical="center"/>
    </xf>
    <xf numFmtId="0" fontId="54" fillId="19" borderId="12" xfId="0" applyFont="1" applyFill="1" applyBorder="1" applyAlignment="1">
      <alignment horizontal="center" vertical="center"/>
    </xf>
    <xf numFmtId="0" fontId="54" fillId="19" borderId="12" xfId="0" applyFont="1" applyFill="1" applyBorder="1" applyAlignment="1">
      <alignment horizontal="center" vertical="center" wrapText="1"/>
    </xf>
    <xf numFmtId="0" fontId="54" fillId="19" borderId="12" xfId="0" applyFont="1" applyFill="1" applyBorder="1" applyAlignment="1">
      <alignment vertical="center"/>
    </xf>
    <xf numFmtId="6" fontId="34" fillId="17" borderId="17" xfId="0" quotePrefix="1" applyNumberFormat="1" applyFont="1" applyFill="1" applyBorder="1" applyAlignment="1">
      <alignment horizontal="center" vertical="center" wrapText="1"/>
    </xf>
    <xf numFmtId="0" fontId="4" fillId="17" borderId="12" xfId="0" applyFont="1" applyFill="1" applyBorder="1" applyAlignment="1">
      <alignment horizontal="center" vertical="center" wrapText="1"/>
    </xf>
    <xf numFmtId="0" fontId="34" fillId="17" borderId="12" xfId="0" applyFont="1" applyFill="1" applyBorder="1" applyAlignment="1">
      <alignment vertical="center" wrapText="1"/>
    </xf>
    <xf numFmtId="0" fontId="7" fillId="17" borderId="17" xfId="0" applyFont="1" applyFill="1" applyBorder="1" applyAlignment="1">
      <alignment horizontal="center"/>
    </xf>
    <xf numFmtId="0" fontId="7" fillId="17" borderId="12" xfId="0" applyFont="1" applyFill="1" applyBorder="1" applyAlignment="1">
      <alignment horizontal="center" vertical="center"/>
    </xf>
    <xf numFmtId="0" fontId="54" fillId="18" borderId="0" xfId="0" applyFont="1" applyFill="1" applyAlignment="1">
      <alignment horizontal="center" vertical="center" wrapText="1"/>
    </xf>
    <xf numFmtId="0" fontId="53" fillId="18" borderId="0" xfId="0" applyFont="1" applyFill="1" applyAlignment="1">
      <alignment vertical="center" wrapText="1"/>
    </xf>
    <xf numFmtId="0" fontId="53" fillId="18" borderId="0" xfId="0" applyFont="1" applyFill="1" applyAlignment="1">
      <alignment vertical="center"/>
    </xf>
    <xf numFmtId="0" fontId="4" fillId="17" borderId="5" xfId="0" applyFont="1" applyFill="1" applyBorder="1" applyAlignment="1">
      <alignment horizontal="center" vertical="center" wrapText="1"/>
    </xf>
    <xf numFmtId="0" fontId="4" fillId="17" borderId="6" xfId="0" applyFont="1" applyFill="1" applyBorder="1" applyAlignment="1">
      <alignment horizontal="center" vertical="center" wrapText="1"/>
    </xf>
    <xf numFmtId="0" fontId="8" fillId="0" borderId="0" xfId="0" applyFont="1" applyAlignment="1">
      <alignment horizontal="center" vertical="center" wrapText="1"/>
    </xf>
    <xf numFmtId="0" fontId="34" fillId="17" borderId="12" xfId="0" applyFont="1" applyFill="1" applyBorder="1" applyAlignment="1">
      <alignment horizontal="center" vertical="center"/>
    </xf>
    <xf numFmtId="0" fontId="34" fillId="17" borderId="12" xfId="0" applyFont="1" applyFill="1" applyBorder="1" applyAlignment="1">
      <alignment horizontal="center" vertical="center" wrapText="1"/>
    </xf>
    <xf numFmtId="0" fontId="34" fillId="17" borderId="22" xfId="0" applyFont="1" applyFill="1" applyBorder="1" applyAlignment="1">
      <alignment horizontal="center" vertical="center"/>
    </xf>
    <xf numFmtId="168" fontId="34" fillId="0" borderId="0" xfId="0" applyNumberFormat="1" applyFont="1" applyAlignment="1">
      <alignment horizontal="center"/>
    </xf>
    <xf numFmtId="0" fontId="42" fillId="0" borderId="0" xfId="0" applyFont="1" applyAlignment="1">
      <alignment horizontal="center"/>
    </xf>
    <xf numFmtId="0" fontId="34" fillId="17" borderId="12" xfId="0" applyFont="1" applyFill="1" applyBorder="1" applyAlignment="1">
      <alignment vertical="center"/>
    </xf>
    <xf numFmtId="0" fontId="42" fillId="4" borderId="0" xfId="0" applyFont="1" applyFill="1"/>
    <xf numFmtId="0" fontId="58" fillId="0" borderId="0" xfId="0" applyFont="1" applyAlignment="1">
      <alignment vertical="center"/>
    </xf>
    <xf numFmtId="0" fontId="44" fillId="17" borderId="5" xfId="0" applyFont="1" applyFill="1" applyBorder="1" applyAlignment="1">
      <alignment horizontal="center" vertical="center"/>
    </xf>
    <xf numFmtId="0" fontId="44" fillId="17" borderId="0" xfId="0" applyFont="1" applyFill="1" applyAlignment="1">
      <alignment horizontal="center" vertical="center"/>
    </xf>
    <xf numFmtId="0" fontId="42" fillId="17" borderId="6" xfId="0" applyFont="1" applyFill="1" applyBorder="1" applyAlignment="1">
      <alignment horizontal="center"/>
    </xf>
    <xf numFmtId="0" fontId="34" fillId="17" borderId="5" xfId="0" applyFont="1" applyFill="1" applyBorder="1"/>
    <xf numFmtId="0" fontId="34" fillId="17" borderId="6" xfId="0" applyFont="1" applyFill="1" applyBorder="1"/>
    <xf numFmtId="0" fontId="7" fillId="0" borderId="77" xfId="0" applyFont="1" applyBorder="1"/>
    <xf numFmtId="0" fontId="6" fillId="0" borderId="78" xfId="0" applyFont="1" applyBorder="1"/>
    <xf numFmtId="0" fontId="6" fillId="0" borderId="77" xfId="0" applyFont="1" applyBorder="1"/>
    <xf numFmtId="0" fontId="6" fillId="0" borderId="80" xfId="0" applyFont="1" applyBorder="1"/>
    <xf numFmtId="0" fontId="6" fillId="0" borderId="80" xfId="0" applyFont="1" applyBorder="1" applyAlignment="1">
      <alignment vertical="center"/>
    </xf>
    <xf numFmtId="10" fontId="6" fillId="0" borderId="80" xfId="0" applyNumberFormat="1" applyFont="1" applyBorder="1" applyAlignment="1">
      <alignment vertical="center"/>
    </xf>
    <xf numFmtId="0" fontId="6" fillId="0" borderId="81" xfId="0" applyFont="1" applyBorder="1"/>
    <xf numFmtId="0" fontId="7" fillId="17" borderId="12" xfId="0" applyFont="1" applyFill="1" applyBorder="1" applyAlignment="1">
      <alignment horizontal="center"/>
    </xf>
    <xf numFmtId="0" fontId="7" fillId="17" borderId="18" xfId="0" applyFont="1" applyFill="1" applyBorder="1" applyAlignment="1">
      <alignment horizontal="center"/>
    </xf>
    <xf numFmtId="0" fontId="60" fillId="0" borderId="0" xfId="0" applyFont="1" applyAlignment="1">
      <alignment horizontal="center" vertical="center"/>
    </xf>
    <xf numFmtId="0" fontId="49" fillId="0" borderId="0" xfId="0" applyFont="1" applyAlignment="1">
      <alignment horizontal="center" vertical="center"/>
    </xf>
    <xf numFmtId="0" fontId="50" fillId="0" borderId="0" xfId="0" applyFont="1" applyAlignment="1">
      <alignment horizontal="center" vertical="center"/>
    </xf>
    <xf numFmtId="0" fontId="50" fillId="0" borderId="0" xfId="0" applyFont="1"/>
    <xf numFmtId="0" fontId="50" fillId="0" borderId="0" xfId="0" applyFont="1" applyAlignment="1">
      <alignment horizontal="left" vertical="center"/>
    </xf>
    <xf numFmtId="0" fontId="50" fillId="0" borderId="0" xfId="0" applyFont="1" applyAlignment="1">
      <alignment horizontal="left"/>
    </xf>
    <xf numFmtId="0" fontId="2" fillId="0" borderId="0" xfId="2" applyFill="1"/>
    <xf numFmtId="0" fontId="50" fillId="0" borderId="0" xfId="0" applyFont="1" applyAlignment="1">
      <alignment vertical="center"/>
    </xf>
    <xf numFmtId="0" fontId="50" fillId="0" borderId="0" xfId="0" applyFont="1" applyAlignment="1">
      <alignment horizontal="left" vertical="top"/>
    </xf>
    <xf numFmtId="0" fontId="56" fillId="0" borderId="0" xfId="0" applyFont="1"/>
    <xf numFmtId="1" fontId="6" fillId="0" borderId="0" xfId="0" applyNumberFormat="1" applyFont="1" applyAlignment="1">
      <alignment horizontal="center" vertical="center"/>
    </xf>
    <xf numFmtId="168" fontId="7" fillId="0" borderId="0" xfId="0" applyNumberFormat="1" applyFont="1" applyAlignment="1">
      <alignment horizontal="center" vertical="center"/>
    </xf>
    <xf numFmtId="0" fontId="6" fillId="0" borderId="39" xfId="0" applyFont="1" applyBorder="1" applyAlignment="1">
      <alignment wrapText="1"/>
    </xf>
    <xf numFmtId="0" fontId="6" fillId="0" borderId="45" xfId="0" applyFont="1" applyBorder="1" applyAlignment="1">
      <alignment wrapText="1"/>
    </xf>
    <xf numFmtId="0" fontId="6" fillId="0" borderId="41" xfId="0" applyFont="1" applyBorder="1" applyAlignment="1">
      <alignment wrapText="1"/>
    </xf>
    <xf numFmtId="0" fontId="6" fillId="0" borderId="42" xfId="0" applyFont="1" applyBorder="1" applyAlignment="1">
      <alignment wrapText="1"/>
    </xf>
    <xf numFmtId="0" fontId="6" fillId="0" borderId="40" xfId="0" applyFont="1" applyBorder="1" applyAlignment="1">
      <alignment wrapText="1"/>
    </xf>
    <xf numFmtId="0" fontId="6" fillId="0" borderId="44" xfId="0" applyFont="1" applyBorder="1" applyAlignment="1">
      <alignment wrapText="1"/>
    </xf>
    <xf numFmtId="0" fontId="6" fillId="0" borderId="49" xfId="0" applyFont="1" applyBorder="1" applyAlignment="1">
      <alignment wrapText="1"/>
    </xf>
    <xf numFmtId="0" fontId="6" fillId="0" borderId="43" xfId="0" applyFont="1" applyBorder="1" applyAlignment="1">
      <alignment wrapText="1"/>
    </xf>
    <xf numFmtId="0" fontId="15" fillId="0" borderId="0" xfId="0" applyFont="1" applyAlignment="1">
      <alignment vertical="center"/>
    </xf>
    <xf numFmtId="1" fontId="6" fillId="0" borderId="0" xfId="0" applyNumberFormat="1" applyFont="1"/>
    <xf numFmtId="165" fontId="8" fillId="0" borderId="0" xfId="0" applyNumberFormat="1" applyFont="1" applyAlignment="1">
      <alignment horizontal="center" vertical="center"/>
    </xf>
    <xf numFmtId="165" fontId="4" fillId="0" borderId="0" xfId="0" applyNumberFormat="1" applyFont="1" applyAlignment="1">
      <alignment horizontal="center" vertical="center"/>
    </xf>
    <xf numFmtId="168" fontId="6" fillId="0" borderId="4" xfId="0" applyNumberFormat="1" applyFont="1" applyBorder="1" applyAlignment="1">
      <alignment horizontal="center"/>
    </xf>
    <xf numFmtId="168" fontId="4" fillId="0" borderId="4" xfId="0" applyNumberFormat="1" applyFont="1" applyBorder="1" applyAlignment="1">
      <alignment horizontal="center" vertical="center"/>
    </xf>
    <xf numFmtId="168" fontId="4" fillId="0" borderId="6" xfId="0" applyNumberFormat="1" applyFont="1" applyBorder="1" applyAlignment="1">
      <alignment horizontal="center" vertical="center"/>
    </xf>
    <xf numFmtId="168" fontId="6" fillId="0" borderId="6" xfId="0" applyNumberFormat="1" applyFont="1" applyBorder="1" applyAlignment="1">
      <alignment horizontal="center"/>
    </xf>
    <xf numFmtId="168" fontId="8" fillId="0" borderId="4" xfId="0" applyNumberFormat="1" applyFont="1" applyBorder="1" applyAlignment="1">
      <alignment horizontal="center" vertical="center"/>
    </xf>
    <xf numFmtId="168" fontId="8" fillId="0" borderId="6" xfId="0" applyNumberFormat="1" applyFont="1" applyBorder="1" applyAlignment="1">
      <alignment horizontal="center" vertical="center"/>
    </xf>
    <xf numFmtId="168" fontId="4" fillId="0" borderId="9" xfId="0" applyNumberFormat="1" applyFont="1" applyBorder="1" applyAlignment="1">
      <alignment horizontal="center" vertical="center"/>
    </xf>
    <xf numFmtId="0" fontId="6" fillId="0" borderId="0" xfId="0" applyFont="1" applyAlignment="1">
      <alignment horizontal="center" vertical="center" wrapText="1"/>
    </xf>
    <xf numFmtId="0" fontId="6" fillId="0" borderId="0" xfId="0" applyFont="1" applyAlignment="1">
      <alignment vertical="top" wrapText="1"/>
    </xf>
    <xf numFmtId="168" fontId="6" fillId="0" borderId="0" xfId="0" applyNumberFormat="1" applyFont="1" applyAlignment="1">
      <alignment horizontal="left" vertical="top"/>
    </xf>
    <xf numFmtId="168" fontId="6" fillId="0" borderId="0" xfId="0" applyNumberFormat="1" applyFont="1" applyAlignment="1">
      <alignment horizontal="left"/>
    </xf>
    <xf numFmtId="0" fontId="8" fillId="0" borderId="0" xfId="0" applyFont="1" applyAlignment="1">
      <alignment horizontal="left" vertical="center" indent="2"/>
    </xf>
    <xf numFmtId="0" fontId="13" fillId="0" borderId="0" xfId="2" applyFont="1" applyFill="1" applyAlignment="1">
      <alignment horizontal="left" vertical="center"/>
    </xf>
    <xf numFmtId="0" fontId="44" fillId="0" borderId="0" xfId="0" applyFont="1"/>
    <xf numFmtId="6" fontId="6" fillId="0" borderId="0" xfId="0" applyNumberFormat="1" applyFont="1" applyAlignment="1">
      <alignment horizontal="center"/>
    </xf>
    <xf numFmtId="0" fontId="33" fillId="0" borderId="0" xfId="0" applyFont="1"/>
    <xf numFmtId="0" fontId="13" fillId="0" borderId="0" xfId="2" applyFont="1" applyAlignment="1">
      <alignment horizontal="left" vertical="top"/>
    </xf>
    <xf numFmtId="10" fontId="6" fillId="0" borderId="0" xfId="0" applyNumberFormat="1" applyFont="1" applyAlignment="1">
      <alignment horizontal="left" vertical="top"/>
    </xf>
    <xf numFmtId="9" fontId="6" fillId="0" borderId="0" xfId="0" applyNumberFormat="1" applyFont="1" applyAlignment="1">
      <alignment horizontal="left" vertical="top"/>
    </xf>
    <xf numFmtId="0" fontId="4" fillId="0" borderId="47" xfId="0" applyFont="1" applyBorder="1" applyAlignment="1">
      <alignment horizontal="center" vertical="center" wrapText="1"/>
    </xf>
    <xf numFmtId="9" fontId="6" fillId="0" borderId="0" xfId="0" applyNumberFormat="1" applyFont="1" applyAlignment="1">
      <alignment horizontal="left" vertical="top" wrapText="1"/>
    </xf>
    <xf numFmtId="10" fontId="6" fillId="0" borderId="0" xfId="0" applyNumberFormat="1" applyFont="1" applyAlignment="1">
      <alignment horizontal="left" vertical="top" wrapText="1"/>
    </xf>
    <xf numFmtId="0" fontId="62" fillId="0" borderId="0" xfId="0" applyFont="1" applyAlignment="1">
      <alignment horizontal="left" vertical="top" wrapText="1"/>
    </xf>
    <xf numFmtId="0" fontId="63" fillId="0" borderId="0" xfId="0" applyFont="1" applyAlignment="1">
      <alignment horizontal="left" vertical="top"/>
    </xf>
    <xf numFmtId="0" fontId="7" fillId="0" borderId="0" xfId="0" applyFont="1" applyAlignment="1">
      <alignment horizontal="left" vertical="top" wrapText="1"/>
    </xf>
    <xf numFmtId="0" fontId="7" fillId="0" borderId="0" xfId="0" applyFont="1" applyAlignment="1">
      <alignment horizontal="center" vertical="top"/>
    </xf>
    <xf numFmtId="0" fontId="6" fillId="0" borderId="0" xfId="0" quotePrefix="1" applyFont="1"/>
    <xf numFmtId="168" fontId="7" fillId="0" borderId="0" xfId="0" applyNumberFormat="1" applyFont="1" applyAlignment="1">
      <alignment horizontal="center"/>
    </xf>
    <xf numFmtId="0" fontId="64" fillId="0" borderId="0" xfId="0" applyFont="1"/>
    <xf numFmtId="0" fontId="66" fillId="0" borderId="0" xfId="2" applyFont="1" applyFill="1" applyAlignment="1">
      <alignment vertical="center"/>
    </xf>
    <xf numFmtId="165" fontId="64" fillId="0" borderId="0" xfId="0" applyNumberFormat="1" applyFont="1"/>
    <xf numFmtId="0" fontId="65" fillId="0" borderId="0" xfId="0" applyFont="1"/>
    <xf numFmtId="168" fontId="64" fillId="0" borderId="0" xfId="0" applyNumberFormat="1" applyFont="1"/>
    <xf numFmtId="0" fontId="6" fillId="0" borderId="79" xfId="0" applyFont="1" applyBorder="1"/>
    <xf numFmtId="0" fontId="7" fillId="0" borderId="77" xfId="0" applyFont="1" applyBorder="1" applyAlignment="1">
      <alignment horizontal="center" vertical="center"/>
    </xf>
    <xf numFmtId="0" fontId="68" fillId="0" borderId="0" xfId="0" applyFont="1"/>
    <xf numFmtId="168" fontId="6" fillId="0" borderId="9" xfId="0" applyNumberFormat="1" applyFont="1" applyBorder="1" applyAlignment="1">
      <alignment horizontal="center"/>
    </xf>
    <xf numFmtId="0" fontId="6" fillId="0" borderId="18" xfId="0" applyFont="1" applyBorder="1" applyAlignment="1">
      <alignment horizontal="center" vertical="center" wrapText="1"/>
    </xf>
    <xf numFmtId="0" fontId="45" fillId="3" borderId="102" xfId="0" applyFont="1" applyFill="1" applyBorder="1" applyAlignment="1">
      <alignment horizontal="center" vertical="center" wrapText="1"/>
    </xf>
    <xf numFmtId="0" fontId="45" fillId="2" borderId="102" xfId="0" applyFont="1" applyFill="1" applyBorder="1" applyAlignment="1">
      <alignment horizontal="center" vertical="center" wrapText="1"/>
    </xf>
    <xf numFmtId="0" fontId="45" fillId="8" borderId="102" xfId="0" applyFont="1" applyFill="1" applyBorder="1" applyAlignment="1">
      <alignment horizontal="center" vertical="center" wrapText="1"/>
    </xf>
    <xf numFmtId="0" fontId="45" fillId="7" borderId="102" xfId="0" applyFont="1" applyFill="1" applyBorder="1" applyAlignment="1">
      <alignment horizontal="center" vertical="center" wrapText="1"/>
    </xf>
    <xf numFmtId="0" fontId="45" fillId="7" borderId="103" xfId="0" applyFont="1" applyFill="1" applyBorder="1" applyAlignment="1">
      <alignment horizontal="center" vertical="center" wrapText="1"/>
    </xf>
    <xf numFmtId="10" fontId="70" fillId="0" borderId="12" xfId="0" applyNumberFormat="1" applyFont="1" applyBorder="1" applyAlignment="1">
      <alignment horizontal="center"/>
    </xf>
    <xf numFmtId="10" fontId="70" fillId="0" borderId="18" xfId="0" applyNumberFormat="1" applyFont="1" applyBorder="1" applyAlignment="1">
      <alignment horizontal="center"/>
    </xf>
    <xf numFmtId="10" fontId="70" fillId="0" borderId="20" xfId="0" applyNumberFormat="1" applyFont="1" applyBorder="1" applyAlignment="1">
      <alignment horizontal="center" vertical="center"/>
    </xf>
    <xf numFmtId="10" fontId="70" fillId="0" borderId="21" xfId="0" applyNumberFormat="1" applyFont="1" applyBorder="1" applyAlignment="1">
      <alignment horizontal="center" vertical="center"/>
    </xf>
    <xf numFmtId="1" fontId="64" fillId="0" borderId="0" xfId="0" applyNumberFormat="1" applyFont="1" applyAlignment="1">
      <alignment horizontal="center" vertical="center"/>
    </xf>
    <xf numFmtId="4" fontId="64" fillId="0" borderId="0" xfId="0" applyNumberFormat="1" applyFont="1"/>
    <xf numFmtId="8" fontId="6" fillId="0" borderId="0" xfId="0" applyNumberFormat="1" applyFont="1"/>
    <xf numFmtId="0" fontId="55" fillId="0" borderId="0" xfId="0" applyFont="1" applyAlignment="1">
      <alignment vertical="center"/>
    </xf>
    <xf numFmtId="0" fontId="4" fillId="0" borderId="10" xfId="0" applyFont="1" applyBorder="1" applyAlignment="1">
      <alignment horizontal="center" vertical="center"/>
    </xf>
    <xf numFmtId="0" fontId="72" fillId="0" borderId="0" xfId="0" applyFont="1" applyAlignment="1">
      <alignment horizontal="center" vertical="center"/>
    </xf>
    <xf numFmtId="1" fontId="72" fillId="0" borderId="0" xfId="2" applyNumberFormat="1" applyFont="1" applyFill="1" applyAlignment="1">
      <alignment horizontal="center" vertical="center"/>
    </xf>
    <xf numFmtId="0" fontId="74" fillId="0" borderId="77" xfId="2" applyFont="1" applyFill="1" applyBorder="1"/>
    <xf numFmtId="0" fontId="74" fillId="0" borderId="0" xfId="2" applyFont="1" applyFill="1" applyAlignment="1">
      <alignment vertical="center"/>
    </xf>
    <xf numFmtId="168" fontId="72" fillId="0" borderId="0" xfId="0" applyNumberFormat="1" applyFont="1" applyAlignment="1">
      <alignment horizontal="center" vertical="center"/>
    </xf>
    <xf numFmtId="165" fontId="70" fillId="0" borderId="0" xfId="0" applyNumberFormat="1" applyFont="1" applyAlignment="1">
      <alignment horizontal="left" vertical="top"/>
    </xf>
    <xf numFmtId="165" fontId="72" fillId="0" borderId="0" xfId="0" applyNumberFormat="1" applyFont="1" applyAlignment="1">
      <alignment horizontal="center" vertical="center"/>
    </xf>
    <xf numFmtId="0" fontId="72" fillId="0" borderId="0" xfId="0" applyFont="1" applyAlignment="1">
      <alignment horizontal="center"/>
    </xf>
    <xf numFmtId="0" fontId="70" fillId="0" borderId="0" xfId="0" applyFont="1" applyAlignment="1">
      <alignment vertical="center"/>
    </xf>
    <xf numFmtId="0" fontId="66" fillId="0" borderId="0" xfId="2" applyFont="1" applyFill="1" applyBorder="1"/>
    <xf numFmtId="0" fontId="17" fillId="0" borderId="0" xfId="0" applyFont="1" applyAlignment="1">
      <alignment vertical="top"/>
    </xf>
    <xf numFmtId="0" fontId="13" fillId="0" borderId="0" xfId="2" applyFont="1" applyFill="1" applyBorder="1"/>
    <xf numFmtId="6" fontId="50" fillId="0" borderId="0" xfId="0" applyNumberFormat="1" applyFont="1" applyAlignment="1">
      <alignment horizontal="center" vertical="center"/>
    </xf>
    <xf numFmtId="0" fontId="75" fillId="0" borderId="0" xfId="2" applyFont="1" applyFill="1"/>
    <xf numFmtId="168" fontId="7" fillId="0" borderId="0" xfId="0" applyNumberFormat="1" applyFont="1" applyAlignment="1">
      <alignment vertical="center" wrapText="1"/>
    </xf>
    <xf numFmtId="0" fontId="49" fillId="0" borderId="0" xfId="0" applyFont="1" applyAlignment="1">
      <alignment horizontal="left" vertical="center" wrapText="1"/>
    </xf>
    <xf numFmtId="0" fontId="49" fillId="0" borderId="0" xfId="0" applyFont="1" applyAlignment="1">
      <alignment horizontal="center" vertical="center" wrapText="1"/>
    </xf>
    <xf numFmtId="168" fontId="49" fillId="0" borderId="0" xfId="0" applyNumberFormat="1" applyFont="1" applyAlignment="1">
      <alignment horizontal="center" vertical="center"/>
    </xf>
    <xf numFmtId="168" fontId="49" fillId="0" borderId="0" xfId="0" applyNumberFormat="1" applyFont="1" applyAlignment="1">
      <alignment horizontal="center" vertical="center" wrapText="1"/>
    </xf>
    <xf numFmtId="0" fontId="45" fillId="0" borderId="0" xfId="0" applyFont="1" applyAlignment="1">
      <alignment vertical="center" wrapText="1"/>
    </xf>
    <xf numFmtId="0" fontId="44" fillId="0" borderId="12" xfId="0" applyFont="1" applyBorder="1" applyAlignment="1">
      <alignment horizontal="center" vertical="center" wrapText="1"/>
    </xf>
    <xf numFmtId="0" fontId="49" fillId="0" borderId="0" xfId="0" applyFont="1"/>
    <xf numFmtId="0" fontId="50" fillId="0" borderId="0" xfId="0" applyFont="1" applyAlignment="1">
      <alignment wrapText="1"/>
    </xf>
    <xf numFmtId="0" fontId="45" fillId="0" borderId="0" xfId="0" applyFont="1"/>
    <xf numFmtId="0" fontId="50" fillId="0" borderId="12" xfId="0" applyFont="1" applyBorder="1" applyAlignment="1">
      <alignment horizontal="center" vertical="center" wrapText="1"/>
    </xf>
    <xf numFmtId="0" fontId="50" fillId="0" borderId="18" xfId="0" applyFont="1" applyBorder="1" applyAlignment="1">
      <alignment horizontal="center" vertical="center" wrapText="1"/>
    </xf>
    <xf numFmtId="0" fontId="50" fillId="0" borderId="20" xfId="0" applyFont="1" applyBorder="1" applyAlignment="1">
      <alignment horizontal="center" vertical="center" wrapText="1"/>
    </xf>
    <xf numFmtId="0" fontId="52" fillId="0" borderId="0" xfId="0" applyFont="1"/>
    <xf numFmtId="0" fontId="34" fillId="17" borderId="18" xfId="0" applyFont="1" applyFill="1" applyBorder="1" applyAlignment="1">
      <alignment horizontal="center" vertical="center" wrapText="1"/>
    </xf>
    <xf numFmtId="2" fontId="50" fillId="0" borderId="0" xfId="0" applyNumberFormat="1" applyFont="1" applyAlignment="1">
      <alignment horizontal="center" vertical="center"/>
    </xf>
    <xf numFmtId="0" fontId="50" fillId="0" borderId="0" xfId="0" quotePrefix="1" applyFont="1" applyAlignment="1">
      <alignment horizontal="center" vertical="center"/>
    </xf>
    <xf numFmtId="168" fontId="6" fillId="0" borderId="5" xfId="0" applyNumberFormat="1" applyFont="1" applyBorder="1" applyAlignment="1">
      <alignment horizontal="center"/>
    </xf>
    <xf numFmtId="168" fontId="7" fillId="0" borderId="1" xfId="0" applyNumberFormat="1" applyFont="1" applyBorder="1" applyAlignment="1">
      <alignment horizontal="center"/>
    </xf>
    <xf numFmtId="168" fontId="6" fillId="0" borderId="1" xfId="0" applyNumberFormat="1" applyFont="1" applyBorder="1" applyAlignment="1">
      <alignment horizontal="center"/>
    </xf>
    <xf numFmtId="168" fontId="8" fillId="0" borderId="9" xfId="0" applyNumberFormat="1" applyFont="1" applyBorder="1" applyAlignment="1">
      <alignment horizontal="center" vertical="center"/>
    </xf>
    <xf numFmtId="0" fontId="34" fillId="0" borderId="0" xfId="0" applyFont="1" applyAlignment="1">
      <alignment horizontal="left" vertical="center" wrapText="1"/>
    </xf>
    <xf numFmtId="168" fontId="34" fillId="0" borderId="0" xfId="0" applyNumberFormat="1" applyFont="1" applyAlignment="1">
      <alignment horizontal="center" vertical="center" wrapText="1"/>
    </xf>
    <xf numFmtId="168" fontId="67" fillId="0" borderId="0" xfId="0" applyNumberFormat="1" applyFont="1" applyAlignment="1">
      <alignment horizontal="center" vertical="center" wrapText="1"/>
    </xf>
    <xf numFmtId="0" fontId="33" fillId="0" borderId="0" xfId="0" applyFont="1" applyAlignment="1">
      <alignment vertical="center" wrapText="1"/>
    </xf>
    <xf numFmtId="0" fontId="52" fillId="0" borderId="0" xfId="0" applyFont="1" applyAlignment="1">
      <alignment vertical="center"/>
    </xf>
    <xf numFmtId="0" fontId="33" fillId="0" borderId="0" xfId="0" applyFont="1" applyAlignment="1">
      <alignment vertical="center"/>
    </xf>
    <xf numFmtId="0" fontId="75" fillId="0" borderId="0" xfId="2" applyFont="1" applyFill="1" applyBorder="1" applyAlignment="1">
      <alignment horizontal="center"/>
    </xf>
    <xf numFmtId="0" fontId="23" fillId="14" borderId="0" xfId="0" applyFont="1" applyFill="1" applyAlignment="1">
      <alignment vertical="center" wrapText="1"/>
    </xf>
    <xf numFmtId="0" fontId="23" fillId="14" borderId="104" xfId="0" applyFont="1" applyFill="1" applyBorder="1" applyAlignment="1">
      <alignment vertical="center" wrapText="1"/>
    </xf>
    <xf numFmtId="0" fontId="17" fillId="14" borderId="0" xfId="0" applyFont="1" applyFill="1" applyAlignment="1">
      <alignment vertical="top" wrapText="1"/>
    </xf>
    <xf numFmtId="0" fontId="19" fillId="11" borderId="12" xfId="0" applyFont="1" applyFill="1" applyBorder="1" applyAlignment="1">
      <alignment horizontal="center" vertical="center" wrapText="1"/>
    </xf>
    <xf numFmtId="0" fontId="20" fillId="11" borderId="12" xfId="0" applyFont="1" applyFill="1" applyBorder="1" applyAlignment="1">
      <alignment wrapText="1"/>
    </xf>
    <xf numFmtId="168" fontId="48" fillId="0" borderId="20" xfId="0" applyNumberFormat="1" applyFont="1" applyBorder="1" applyAlignment="1">
      <alignment horizontal="center" vertical="center" wrapText="1"/>
    </xf>
    <xf numFmtId="0" fontId="8" fillId="0" borderId="0" xfId="0" applyFont="1" applyAlignment="1">
      <alignment horizontal="center" vertical="center"/>
    </xf>
    <xf numFmtId="0" fontId="57" fillId="17" borderId="77" xfId="0" applyFont="1" applyFill="1" applyBorder="1" applyAlignment="1">
      <alignment horizontal="center" vertical="center" wrapText="1"/>
    </xf>
    <xf numFmtId="0" fontId="4" fillId="17" borderId="78" xfId="0" applyFont="1" applyFill="1" applyBorder="1" applyAlignment="1">
      <alignment horizontal="center" vertical="center"/>
    </xf>
    <xf numFmtId="0" fontId="41" fillId="14" borderId="0" xfId="0" applyFont="1" applyFill="1" applyAlignment="1">
      <alignment vertical="center"/>
    </xf>
    <xf numFmtId="0" fontId="41" fillId="0" borderId="0" xfId="0" applyFont="1" applyAlignment="1">
      <alignment horizontal="center" vertical="center"/>
    </xf>
    <xf numFmtId="0" fontId="41" fillId="0" borderId="0" xfId="0" applyFont="1" applyAlignment="1">
      <alignment vertical="center"/>
    </xf>
    <xf numFmtId="0" fontId="78" fillId="0" borderId="0" xfId="0" applyFont="1" applyAlignment="1">
      <alignment horizontal="center" vertical="top" wrapText="1"/>
    </xf>
    <xf numFmtId="0" fontId="19" fillId="0" borderId="0" xfId="0" applyFont="1" applyAlignment="1">
      <alignment vertical="center" wrapText="1"/>
    </xf>
    <xf numFmtId="0" fontId="19" fillId="11" borderId="22" xfId="0" applyFont="1" applyFill="1" applyBorder="1" applyAlignment="1">
      <alignment vertical="center" wrapText="1"/>
    </xf>
    <xf numFmtId="0" fontId="29" fillId="5" borderId="0" xfId="0" applyFont="1" applyFill="1" applyAlignment="1">
      <alignment horizontal="center" vertical="center"/>
    </xf>
    <xf numFmtId="0" fontId="26" fillId="5" borderId="0" xfId="0" applyFont="1" applyFill="1" applyAlignment="1">
      <alignment horizontal="center" vertical="center"/>
    </xf>
    <xf numFmtId="0" fontId="39" fillId="12" borderId="20" xfId="0" applyFont="1" applyFill="1" applyBorder="1" applyAlignment="1">
      <alignment horizontal="center" vertical="center" wrapText="1"/>
    </xf>
    <xf numFmtId="0" fontId="50" fillId="0" borderId="77" xfId="0" applyFont="1" applyBorder="1"/>
    <xf numFmtId="0" fontId="42" fillId="0" borderId="18" xfId="0" applyFont="1" applyBorder="1" applyAlignment="1">
      <alignment horizontal="center" vertical="center" wrapText="1"/>
    </xf>
    <xf numFmtId="0" fontId="44" fillId="0" borderId="18" xfId="0" applyFont="1" applyBorder="1" applyAlignment="1">
      <alignment horizontal="center" vertical="center" wrapText="1"/>
    </xf>
    <xf numFmtId="0" fontId="42" fillId="0" borderId="20" xfId="0" applyFont="1" applyBorder="1" applyAlignment="1">
      <alignment horizontal="center" vertical="center" wrapText="1"/>
    </xf>
    <xf numFmtId="0" fontId="44" fillId="0" borderId="20" xfId="0" applyFont="1" applyBorder="1" applyAlignment="1">
      <alignment horizontal="center" vertical="center" wrapText="1"/>
    </xf>
    <xf numFmtId="0" fontId="7" fillId="0" borderId="9" xfId="0" applyFont="1" applyBorder="1" applyAlignment="1">
      <alignment horizontal="left" vertical="center" wrapText="1"/>
    </xf>
    <xf numFmtId="0" fontId="42" fillId="0" borderId="0" xfId="0" applyFont="1" applyAlignment="1">
      <alignment horizontal="center" vertical="center" wrapText="1"/>
    </xf>
    <xf numFmtId="0" fontId="44" fillId="0" borderId="0" xfId="0" applyFont="1" applyAlignment="1">
      <alignment horizontal="center" vertical="center" wrapText="1"/>
    </xf>
    <xf numFmtId="0" fontId="6" fillId="0" borderId="39" xfId="0" applyFont="1" applyBorder="1" applyAlignment="1">
      <alignment horizontal="left" vertical="top" wrapText="1"/>
    </xf>
    <xf numFmtId="0" fontId="20" fillId="0" borderId="39" xfId="0" applyFont="1" applyBorder="1" applyAlignment="1">
      <alignment vertical="top" wrapText="1"/>
    </xf>
    <xf numFmtId="0" fontId="14" fillId="0" borderId="43" xfId="0" applyFont="1" applyBorder="1"/>
    <xf numFmtId="0" fontId="40" fillId="0" borderId="40" xfId="0" applyFont="1" applyBorder="1" applyAlignment="1">
      <alignment vertical="center"/>
    </xf>
    <xf numFmtId="0" fontId="14" fillId="0" borderId="12" xfId="0" applyFont="1" applyBorder="1" applyAlignment="1">
      <alignment vertical="center" wrapText="1"/>
    </xf>
    <xf numFmtId="0" fontId="39" fillId="0" borderId="108" xfId="0" applyFont="1" applyBorder="1" applyAlignment="1">
      <alignment horizontal="center" vertical="center"/>
    </xf>
    <xf numFmtId="0" fontId="39" fillId="12" borderId="18" xfId="0" applyFont="1" applyFill="1" applyBorder="1" applyAlignment="1">
      <alignment horizontal="center" vertical="center" wrapText="1"/>
    </xf>
    <xf numFmtId="0" fontId="6" fillId="0" borderId="76" xfId="0" applyFont="1" applyBorder="1" applyAlignment="1">
      <alignment wrapText="1"/>
    </xf>
    <xf numFmtId="0" fontId="6" fillId="0" borderId="63" xfId="0" applyFont="1" applyBorder="1" applyAlignment="1">
      <alignment wrapText="1"/>
    </xf>
    <xf numFmtId="0" fontId="6" fillId="0" borderId="64" xfId="0" applyFont="1" applyBorder="1" applyAlignment="1">
      <alignment wrapText="1"/>
    </xf>
    <xf numFmtId="0" fontId="6" fillId="0" borderId="65" xfId="0" applyFont="1" applyBorder="1" applyAlignment="1">
      <alignment wrapText="1"/>
    </xf>
    <xf numFmtId="0" fontId="14" fillId="0" borderId="0" xfId="0" applyFont="1"/>
    <xf numFmtId="0" fontId="6" fillId="14" borderId="109" xfId="0" applyFont="1" applyFill="1" applyBorder="1" applyAlignment="1">
      <alignment wrapText="1"/>
    </xf>
    <xf numFmtId="0" fontId="18" fillId="2" borderId="17" xfId="0" applyFont="1" applyFill="1" applyBorder="1" applyAlignment="1">
      <alignment horizontal="center" wrapText="1"/>
    </xf>
    <xf numFmtId="0" fontId="18" fillId="2" borderId="18" xfId="0" applyFont="1" applyFill="1" applyBorder="1" applyAlignment="1">
      <alignment horizontal="center" wrapText="1"/>
    </xf>
    <xf numFmtId="0" fontId="19" fillId="11" borderId="17" xfId="0" applyFont="1" applyFill="1" applyBorder="1" applyAlignment="1">
      <alignment horizontal="center" vertical="center" wrapText="1"/>
    </xf>
    <xf numFmtId="0" fontId="21" fillId="11" borderId="18" xfId="2" applyFont="1" applyFill="1" applyBorder="1" applyAlignment="1">
      <alignment horizontal="center" vertical="center" wrapText="1"/>
    </xf>
    <xf numFmtId="0" fontId="19" fillId="11" borderId="20" xfId="0" applyFont="1" applyFill="1" applyBorder="1" applyAlignment="1">
      <alignment horizontal="center" vertical="center" wrapText="1"/>
    </xf>
    <xf numFmtId="0" fontId="20" fillId="11" borderId="20" xfId="0" applyFont="1" applyFill="1" applyBorder="1" applyAlignment="1">
      <alignment vertical="top" wrapText="1"/>
    </xf>
    <xf numFmtId="0" fontId="21" fillId="11" borderId="21" xfId="2" applyFont="1" applyFill="1" applyBorder="1" applyAlignment="1">
      <alignment horizontal="center" vertical="center" wrapText="1"/>
    </xf>
    <xf numFmtId="0" fontId="77" fillId="0" borderId="0" xfId="0" applyFont="1" applyAlignment="1">
      <alignment vertical="center" wrapText="1"/>
    </xf>
    <xf numFmtId="0" fontId="6" fillId="0" borderId="0" xfId="0" applyFont="1" applyAlignment="1">
      <alignment horizontal="left" vertical="top" shrinkToFit="1"/>
    </xf>
    <xf numFmtId="0" fontId="6" fillId="0" borderId="0" xfId="0" applyFont="1" applyAlignment="1">
      <alignment horizontal="left" shrinkToFit="1"/>
    </xf>
    <xf numFmtId="0" fontId="76" fillId="0" borderId="0" xfId="0" applyFont="1" applyAlignment="1">
      <alignment vertical="center" wrapText="1"/>
    </xf>
    <xf numFmtId="0" fontId="50" fillId="0" borderId="0" xfId="0" applyFont="1" applyAlignment="1">
      <alignment horizontal="left" vertical="top" wrapText="1"/>
    </xf>
    <xf numFmtId="0" fontId="44" fillId="0" borderId="0" xfId="0" applyFont="1" applyAlignment="1">
      <alignment horizontal="left" vertical="center"/>
    </xf>
    <xf numFmtId="0" fontId="6" fillId="0" borderId="45" xfId="0" applyFont="1" applyBorder="1"/>
    <xf numFmtId="168" fontId="48" fillId="0" borderId="70" xfId="0" applyNumberFormat="1" applyFont="1" applyBorder="1" applyAlignment="1">
      <alignment horizontal="center" vertical="center" wrapText="1"/>
    </xf>
    <xf numFmtId="168" fontId="48" fillId="0" borderId="57" xfId="0" applyNumberFormat="1" applyFont="1" applyBorder="1" applyAlignment="1">
      <alignment horizontal="center" vertical="center" wrapText="1"/>
    </xf>
    <xf numFmtId="0" fontId="74" fillId="0" borderId="0" xfId="2" applyFont="1" applyFill="1"/>
    <xf numFmtId="0" fontId="79" fillId="0" borderId="0" xfId="0" applyFont="1" applyAlignment="1">
      <alignment wrapText="1"/>
    </xf>
    <xf numFmtId="0" fontId="79" fillId="0" borderId="39" xfId="0" applyFont="1" applyBorder="1" applyAlignment="1">
      <alignment wrapText="1"/>
    </xf>
    <xf numFmtId="0" fontId="79" fillId="0" borderId="40" xfId="0" applyFont="1" applyBorder="1" applyAlignment="1">
      <alignment wrapText="1"/>
    </xf>
    <xf numFmtId="3" fontId="80" fillId="0" borderId="0" xfId="0" applyNumberFormat="1" applyFont="1"/>
    <xf numFmtId="0" fontId="7" fillId="0" borderId="0" xfId="0" applyFont="1" applyAlignment="1">
      <alignment vertical="top" wrapText="1"/>
    </xf>
    <xf numFmtId="4" fontId="6" fillId="0" borderId="0" xfId="0" applyNumberFormat="1" applyFont="1"/>
    <xf numFmtId="6" fontId="6" fillId="0" borderId="0" xfId="0" applyNumberFormat="1" applyFont="1" applyAlignment="1">
      <alignment horizontal="center" vertical="center"/>
    </xf>
    <xf numFmtId="0" fontId="41" fillId="0" borderId="0" xfId="0" applyFont="1" applyAlignment="1">
      <alignment horizontal="left"/>
    </xf>
    <xf numFmtId="0" fontId="34" fillId="13" borderId="38" xfId="0" applyFont="1" applyFill="1" applyBorder="1" applyAlignment="1">
      <alignment horizontal="left" vertical="center" wrapText="1"/>
    </xf>
    <xf numFmtId="0" fontId="34" fillId="12" borderId="17" xfId="0" applyFont="1" applyFill="1" applyBorder="1" applyAlignment="1">
      <alignment horizontal="center" vertical="center"/>
    </xf>
    <xf numFmtId="0" fontId="34" fillId="12" borderId="17" xfId="0" applyFont="1" applyFill="1" applyBorder="1" applyAlignment="1">
      <alignment horizontal="center" vertical="center" wrapText="1"/>
    </xf>
    <xf numFmtId="0" fontId="34" fillId="12" borderId="19" xfId="0" applyFont="1" applyFill="1" applyBorder="1" applyAlignment="1">
      <alignment horizontal="center" vertical="center"/>
    </xf>
    <xf numFmtId="0" fontId="34" fillId="12" borderId="18" xfId="0" applyFont="1" applyFill="1" applyBorder="1" applyAlignment="1">
      <alignment horizontal="center" vertical="center" wrapText="1"/>
    </xf>
    <xf numFmtId="0" fontId="7" fillId="0" borderId="77" xfId="0" applyFont="1" applyBorder="1" applyAlignment="1">
      <alignment horizontal="center" vertical="center" wrapText="1"/>
    </xf>
    <xf numFmtId="0" fontId="7" fillId="17" borderId="4" xfId="0" applyFont="1" applyFill="1" applyBorder="1" applyAlignment="1">
      <alignment horizontal="center" vertical="center" wrapText="1"/>
    </xf>
    <xf numFmtId="0" fontId="7" fillId="0" borderId="78" xfId="0" applyFont="1" applyBorder="1" applyAlignment="1">
      <alignment horizontal="center" vertical="center"/>
    </xf>
    <xf numFmtId="0" fontId="5" fillId="3" borderId="4" xfId="0" applyFont="1" applyFill="1" applyBorder="1" applyAlignment="1">
      <alignment horizontal="center" vertical="center"/>
    </xf>
    <xf numFmtId="0" fontId="5" fillId="25" borderId="56" xfId="0" applyFont="1" applyFill="1" applyBorder="1" applyAlignment="1">
      <alignment horizontal="center" vertical="center"/>
    </xf>
    <xf numFmtId="0" fontId="6" fillId="0" borderId="53" xfId="0" applyFont="1" applyBorder="1" applyAlignment="1">
      <alignment horizontal="center" vertical="center"/>
    </xf>
    <xf numFmtId="0" fontId="6" fillId="0" borderId="54" xfId="0" applyFont="1" applyBorder="1" applyAlignment="1">
      <alignment horizontal="center" vertical="center"/>
    </xf>
    <xf numFmtId="0" fontId="7" fillId="9" borderId="12" xfId="0" applyFont="1" applyFill="1" applyBorder="1" applyAlignment="1">
      <alignment horizontal="left" vertical="top" wrapText="1"/>
    </xf>
    <xf numFmtId="168" fontId="48" fillId="9" borderId="21" xfId="0" applyNumberFormat="1" applyFont="1" applyFill="1" applyBorder="1" applyAlignment="1">
      <alignment horizontal="center" vertical="center" wrapText="1"/>
    </xf>
    <xf numFmtId="168" fontId="48" fillId="9" borderId="12" xfId="0" applyNumberFormat="1" applyFont="1" applyFill="1" applyBorder="1" applyAlignment="1">
      <alignment horizontal="center" vertical="center"/>
    </xf>
    <xf numFmtId="0" fontId="42" fillId="0" borderId="0" xfId="0" applyFont="1" applyAlignment="1">
      <alignment horizontal="left" shrinkToFit="1"/>
    </xf>
    <xf numFmtId="0" fontId="42" fillId="0" borderId="0" xfId="0" applyFont="1" applyAlignment="1">
      <alignment horizontal="left" vertical="top" shrinkToFit="1"/>
    </xf>
    <xf numFmtId="0" fontId="34" fillId="0" borderId="0" xfId="0" applyFont="1" applyAlignment="1">
      <alignment horizontal="left" vertical="center" shrinkToFit="1"/>
    </xf>
    <xf numFmtId="0" fontId="34" fillId="9" borderId="22" xfId="0" applyFont="1" applyFill="1" applyBorder="1" applyAlignment="1">
      <alignment horizontal="left" vertical="top" shrinkToFit="1"/>
    </xf>
    <xf numFmtId="0" fontId="6" fillId="9" borderId="12" xfId="0" applyFont="1" applyFill="1" applyBorder="1" applyAlignment="1">
      <alignment horizontal="center" vertical="center"/>
    </xf>
    <xf numFmtId="0" fontId="6" fillId="9" borderId="21" xfId="0" applyFont="1" applyFill="1" applyBorder="1" applyAlignment="1">
      <alignment horizontal="center" vertical="center"/>
    </xf>
    <xf numFmtId="0" fontId="7" fillId="9" borderId="59" xfId="0" applyFont="1" applyFill="1" applyBorder="1" applyAlignment="1">
      <alignment horizontal="left" vertical="top" shrinkToFit="1"/>
    </xf>
    <xf numFmtId="0" fontId="34" fillId="9" borderId="12" xfId="0" applyFont="1" applyFill="1" applyBorder="1" applyAlignment="1">
      <alignment horizontal="center" vertical="center" wrapText="1"/>
    </xf>
    <xf numFmtId="0" fontId="42" fillId="9" borderId="12" xfId="0" applyFont="1" applyFill="1" applyBorder="1" applyAlignment="1">
      <alignment horizontal="center" vertical="center"/>
    </xf>
    <xf numFmtId="0" fontId="42" fillId="9" borderId="18" xfId="0" applyFont="1" applyFill="1" applyBorder="1" applyAlignment="1">
      <alignment horizontal="center" vertical="center"/>
    </xf>
    <xf numFmtId="0" fontId="42" fillId="9" borderId="20" xfId="0" applyFont="1" applyFill="1" applyBorder="1" applyAlignment="1">
      <alignment horizontal="center" vertical="center"/>
    </xf>
    <xf numFmtId="0" fontId="42" fillId="9" borderId="21" xfId="0" applyFont="1" applyFill="1" applyBorder="1" applyAlignment="1">
      <alignment horizontal="center" vertical="center"/>
    </xf>
    <xf numFmtId="0" fontId="6" fillId="0" borderId="0" xfId="0" applyFont="1" applyAlignment="1">
      <alignment horizontal="left" vertical="center" indent="6"/>
    </xf>
    <xf numFmtId="0" fontId="13" fillId="0" borderId="0" xfId="2" applyFont="1" applyAlignment="1"/>
    <xf numFmtId="168" fontId="13" fillId="0" borderId="0" xfId="2" applyNumberFormat="1" applyFont="1" applyAlignment="1">
      <alignment horizontal="left" vertical="top"/>
    </xf>
    <xf numFmtId="10" fontId="70" fillId="0" borderId="21" xfId="0" applyNumberFormat="1" applyFont="1" applyBorder="1" applyAlignment="1">
      <alignment horizontal="center"/>
    </xf>
    <xf numFmtId="4" fontId="70" fillId="0" borderId="12" xfId="0" applyNumberFormat="1" applyFont="1" applyBorder="1" applyAlignment="1">
      <alignment horizontal="center"/>
    </xf>
    <xf numFmtId="0" fontId="45" fillId="17" borderId="18" xfId="2" applyFont="1" applyFill="1" applyBorder="1" applyAlignment="1">
      <alignment horizontal="center" vertical="center" wrapText="1"/>
    </xf>
    <xf numFmtId="1" fontId="34" fillId="17" borderId="12" xfId="0" applyNumberFormat="1" applyFont="1" applyFill="1" applyBorder="1" applyAlignment="1">
      <alignment horizontal="center" vertical="center"/>
    </xf>
    <xf numFmtId="8" fontId="34" fillId="17" borderId="18" xfId="0" applyNumberFormat="1" applyFont="1" applyFill="1" applyBorder="1" applyAlignment="1">
      <alignment horizontal="center" vertical="center"/>
    </xf>
    <xf numFmtId="0" fontId="34" fillId="17" borderId="17" xfId="0" applyFont="1" applyFill="1" applyBorder="1" applyAlignment="1">
      <alignment horizontal="center"/>
    </xf>
    <xf numFmtId="0" fontId="15" fillId="0" borderId="0" xfId="0" applyFont="1" applyAlignment="1">
      <alignment horizontal="center"/>
    </xf>
    <xf numFmtId="0" fontId="13" fillId="0" borderId="77" xfId="2" applyFont="1" applyBorder="1"/>
    <xf numFmtId="0" fontId="13" fillId="0" borderId="79" xfId="2" applyFont="1" applyBorder="1"/>
    <xf numFmtId="0" fontId="13" fillId="0" borderId="78" xfId="2" applyFont="1" applyBorder="1"/>
    <xf numFmtId="0" fontId="7" fillId="17" borderId="12" xfId="0" applyFont="1" applyFill="1" applyBorder="1" applyAlignment="1">
      <alignment horizontal="center" vertical="center" wrapText="1"/>
    </xf>
    <xf numFmtId="10" fontId="6" fillId="0" borderId="1" xfId="0" applyNumberFormat="1" applyFont="1" applyBorder="1" applyAlignment="1">
      <alignment horizontal="center" vertical="center"/>
    </xf>
    <xf numFmtId="10" fontId="6" fillId="0" borderId="4" xfId="0" applyNumberFormat="1" applyFont="1" applyBorder="1" applyAlignment="1">
      <alignment horizontal="center" vertical="center"/>
    </xf>
    <xf numFmtId="9" fontId="6" fillId="0" borderId="4" xfId="0" applyNumberFormat="1" applyFont="1" applyBorder="1" applyAlignment="1">
      <alignment horizontal="center" vertical="center"/>
    </xf>
    <xf numFmtId="10" fontId="6" fillId="0" borderId="10" xfId="0" applyNumberFormat="1" applyFont="1" applyBorder="1" applyAlignment="1">
      <alignment horizontal="center" vertical="center"/>
    </xf>
    <xf numFmtId="9" fontId="6" fillId="0" borderId="0" xfId="0" applyNumberFormat="1" applyFont="1" applyAlignment="1">
      <alignment horizontal="center" vertical="center"/>
    </xf>
    <xf numFmtId="8" fontId="42" fillId="4" borderId="0" xfId="0" applyNumberFormat="1" applyFont="1" applyFill="1"/>
    <xf numFmtId="0" fontId="4" fillId="17" borderId="18" xfId="0" applyFont="1" applyFill="1" applyBorder="1" applyAlignment="1">
      <alignment horizontal="center" vertical="center" wrapText="1"/>
    </xf>
    <xf numFmtId="165" fontId="13" fillId="0" borderId="0" xfId="2" applyNumberFormat="1" applyFont="1" applyAlignment="1">
      <alignment horizontal="left" vertical="center"/>
    </xf>
    <xf numFmtId="0" fontId="13" fillId="0" borderId="0" xfId="2" applyFont="1" applyAlignment="1">
      <alignment horizontal="left"/>
    </xf>
    <xf numFmtId="10" fontId="13" fillId="0" borderId="0" xfId="2" applyNumberFormat="1" applyFont="1" applyAlignment="1">
      <alignment horizontal="left" vertical="top"/>
    </xf>
    <xf numFmtId="0" fontId="13" fillId="0" borderId="0" xfId="2" applyFont="1" applyAlignment="1">
      <alignment vertical="top"/>
    </xf>
    <xf numFmtId="0" fontId="6" fillId="0" borderId="11" xfId="0" applyFont="1" applyBorder="1" applyAlignment="1">
      <alignment vertical="center"/>
    </xf>
    <xf numFmtId="0" fontId="13" fillId="0" borderId="0" xfId="2" applyFont="1" applyAlignment="1">
      <alignment wrapText="1"/>
    </xf>
    <xf numFmtId="0" fontId="23" fillId="0" borderId="0" xfId="0" applyFont="1" applyAlignment="1">
      <alignment vertical="center"/>
    </xf>
    <xf numFmtId="0" fontId="6" fillId="0" borderId="77" xfId="0" applyFont="1" applyBorder="1" applyAlignment="1">
      <alignment horizontal="center" vertical="center"/>
    </xf>
    <xf numFmtId="0" fontId="4" fillId="0" borderId="101" xfId="0" applyFont="1" applyBorder="1" applyAlignment="1">
      <alignment horizontal="center" vertical="center" wrapText="1"/>
    </xf>
    <xf numFmtId="0" fontId="4" fillId="0" borderId="25" xfId="0" applyFont="1" applyBorder="1" applyAlignment="1">
      <alignment horizontal="center" vertical="center" wrapText="1"/>
    </xf>
    <xf numFmtId="0" fontId="6" fillId="0" borderId="0" xfId="0" applyFont="1" applyAlignment="1">
      <alignment horizontal="left" wrapText="1"/>
    </xf>
    <xf numFmtId="168" fontId="13" fillId="0" borderId="0" xfId="2" applyNumberFormat="1" applyFont="1"/>
    <xf numFmtId="0" fontId="13" fillId="0" borderId="77" xfId="2" applyFont="1" applyFill="1" applyBorder="1"/>
    <xf numFmtId="0" fontId="13" fillId="0" borderId="3" xfId="2" applyFont="1" applyBorder="1" applyAlignment="1">
      <alignment vertical="center" wrapText="1"/>
    </xf>
    <xf numFmtId="0" fontId="13" fillId="0" borderId="0" xfId="2" applyFont="1" applyAlignment="1">
      <alignment horizontal="left" vertical="top" wrapText="1"/>
    </xf>
    <xf numFmtId="0" fontId="57" fillId="17" borderId="77" xfId="0" applyFont="1" applyFill="1" applyBorder="1" applyAlignment="1">
      <alignment horizontal="center"/>
    </xf>
    <xf numFmtId="0" fontId="57" fillId="17" borderId="78" xfId="0" applyFont="1" applyFill="1" applyBorder="1" applyAlignment="1">
      <alignment horizontal="center"/>
    </xf>
    <xf numFmtId="0" fontId="85" fillId="0" borderId="120" xfId="0" applyFont="1" applyBorder="1" applyAlignment="1">
      <alignment horizontal="left" vertical="top" wrapText="1"/>
    </xf>
    <xf numFmtId="0" fontId="6" fillId="0" borderId="78" xfId="0" applyFont="1" applyBorder="1" applyAlignment="1">
      <alignment horizontal="left" vertical="center" wrapText="1"/>
    </xf>
    <xf numFmtId="170" fontId="16" fillId="0" borderId="28" xfId="8" applyNumberFormat="1" applyFont="1" applyBorder="1" applyAlignment="1">
      <alignment horizontal="right" wrapText="1"/>
    </xf>
    <xf numFmtId="0" fontId="56" fillId="0" borderId="0" xfId="0" applyFont="1" applyAlignment="1">
      <alignment vertical="center" wrapText="1"/>
    </xf>
    <xf numFmtId="3" fontId="61" fillId="0" borderId="0" xfId="6" applyNumberFormat="1" applyFont="1" applyBorder="1" applyAlignment="1">
      <alignment horizontal="center" vertical="center" wrapText="1"/>
    </xf>
    <xf numFmtId="3" fontId="61" fillId="0" borderId="0" xfId="6" applyNumberFormat="1" applyFont="1" applyBorder="1" applyAlignment="1">
      <alignment horizontal="right" wrapText="1"/>
    </xf>
    <xf numFmtId="170" fontId="16" fillId="0" borderId="0" xfId="4" applyNumberFormat="1" applyFont="1" applyBorder="1" applyAlignment="1">
      <alignment horizontal="right" wrapText="1"/>
    </xf>
    <xf numFmtId="171" fontId="16" fillId="0" borderId="0" xfId="4" applyNumberFormat="1" applyFont="1" applyBorder="1" applyAlignment="1">
      <alignment horizontal="right" wrapText="1"/>
    </xf>
    <xf numFmtId="0" fontId="7" fillId="12" borderId="12" xfId="0" applyFont="1" applyFill="1" applyBorder="1" applyAlignment="1">
      <alignment horizontal="center" vertical="center" wrapText="1"/>
    </xf>
    <xf numFmtId="0" fontId="7" fillId="12" borderId="18" xfId="0" applyFont="1" applyFill="1" applyBorder="1" applyAlignment="1">
      <alignment horizontal="center" vertical="center" wrapText="1"/>
    </xf>
    <xf numFmtId="0" fontId="6" fillId="0" borderId="0" xfId="0" applyFont="1" applyAlignment="1">
      <alignment horizontal="center" wrapText="1"/>
    </xf>
    <xf numFmtId="1" fontId="84" fillId="0" borderId="0" xfId="0" applyNumberFormat="1" applyFont="1" applyAlignment="1">
      <alignment horizontal="left"/>
    </xf>
    <xf numFmtId="168" fontId="84" fillId="0" borderId="0" xfId="0" applyNumberFormat="1" applyFont="1" applyAlignment="1">
      <alignment horizontal="left"/>
    </xf>
    <xf numFmtId="0" fontId="89" fillId="0" borderId="12" xfId="0" applyFont="1" applyBorder="1" applyAlignment="1">
      <alignment horizontal="center" vertical="center" wrapText="1"/>
    </xf>
    <xf numFmtId="0" fontId="89" fillId="0" borderId="12" xfId="1" applyFont="1" applyBorder="1" applyAlignment="1">
      <alignment horizontal="center" vertical="center" wrapText="1"/>
    </xf>
    <xf numFmtId="168" fontId="6" fillId="0" borderId="0" xfId="0" applyNumberFormat="1" applyFont="1" applyAlignment="1">
      <alignment horizontal="center"/>
    </xf>
    <xf numFmtId="0" fontId="6" fillId="0" borderId="124" xfId="0" applyFont="1" applyBorder="1" applyAlignment="1">
      <alignment wrapText="1"/>
    </xf>
    <xf numFmtId="0" fontId="47" fillId="9" borderId="21" xfId="0" applyFont="1" applyFill="1" applyBorder="1" applyAlignment="1">
      <alignment horizontal="center" vertical="center" wrapText="1"/>
    </xf>
    <xf numFmtId="0" fontId="47" fillId="9" borderId="12" xfId="0" applyFont="1" applyFill="1" applyBorder="1" applyAlignment="1">
      <alignment horizontal="center" vertical="center" wrapText="1"/>
    </xf>
    <xf numFmtId="0" fontId="47" fillId="9" borderId="0" xfId="0" applyFont="1" applyFill="1" applyAlignment="1">
      <alignment horizontal="center" vertical="center" wrapText="1"/>
    </xf>
    <xf numFmtId="0" fontId="89" fillId="0" borderId="18" xfId="0" applyFont="1" applyBorder="1" applyAlignment="1">
      <alignment horizontal="center" vertical="center" wrapText="1"/>
    </xf>
    <xf numFmtId="0" fontId="89" fillId="0" borderId="0" xfId="0" applyFont="1" applyAlignment="1">
      <alignment horizontal="center" vertical="center" wrapText="1"/>
    </xf>
    <xf numFmtId="0" fontId="89" fillId="0" borderId="12" xfId="1" applyFont="1" applyBorder="1" applyAlignment="1">
      <alignment horizontal="center" vertical="top" wrapText="1"/>
    </xf>
    <xf numFmtId="0" fontId="89" fillId="0" borderId="20" xfId="0" applyFont="1" applyBorder="1" applyAlignment="1">
      <alignment horizontal="center" vertical="center" wrapText="1"/>
    </xf>
    <xf numFmtId="0" fontId="89" fillId="5" borderId="12" xfId="0" applyFont="1" applyFill="1" applyBorder="1" applyAlignment="1">
      <alignment horizontal="center" vertical="center" wrapText="1"/>
    </xf>
    <xf numFmtId="0" fontId="90" fillId="12" borderId="12" xfId="0" applyFont="1" applyFill="1" applyBorder="1" applyAlignment="1">
      <alignment horizontal="center" vertical="center"/>
    </xf>
    <xf numFmtId="0" fontId="90" fillId="12" borderId="12" xfId="0" applyFont="1" applyFill="1" applyBorder="1" applyAlignment="1">
      <alignment horizontal="center" vertical="center" wrapText="1"/>
    </xf>
    <xf numFmtId="165" fontId="7" fillId="0" borderId="0" xfId="0" applyNumberFormat="1" applyFont="1"/>
    <xf numFmtId="0" fontId="54" fillId="0" borderId="0" xfId="0" applyFont="1" applyAlignment="1">
      <alignment wrapText="1"/>
    </xf>
    <xf numFmtId="0" fontId="7" fillId="0" borderId="78" xfId="0" applyFont="1" applyBorder="1" applyAlignment="1">
      <alignment horizontal="center"/>
    </xf>
    <xf numFmtId="0" fontId="49" fillId="14" borderId="77" xfId="0" applyFont="1" applyFill="1" applyBorder="1" applyAlignment="1">
      <alignment horizontal="center" vertical="center"/>
    </xf>
    <xf numFmtId="0" fontId="7" fillId="14" borderId="0" xfId="0" applyFont="1" applyFill="1" applyAlignment="1">
      <alignment horizontal="center" vertical="center"/>
    </xf>
    <xf numFmtId="0" fontId="7" fillId="14" borderId="78" xfId="0" applyFont="1" applyFill="1" applyBorder="1" applyAlignment="1">
      <alignment horizontal="center" vertical="center"/>
    </xf>
    <xf numFmtId="0" fontId="45" fillId="0" borderId="6" xfId="0" applyFont="1" applyBorder="1" applyAlignment="1">
      <alignment vertical="center"/>
    </xf>
    <xf numFmtId="0" fontId="73" fillId="14" borderId="17" xfId="0" applyFont="1" applyFill="1" applyBorder="1" applyAlignment="1">
      <alignment horizontal="center" vertical="center"/>
    </xf>
    <xf numFmtId="0" fontId="20" fillId="11" borderId="0" xfId="0" applyFont="1" applyFill="1" applyAlignment="1">
      <alignment wrapText="1"/>
    </xf>
    <xf numFmtId="0" fontId="19" fillId="11" borderId="19" xfId="0" applyFont="1" applyFill="1" applyBorder="1" applyAlignment="1">
      <alignment horizontal="center" vertical="center" wrapText="1"/>
    </xf>
    <xf numFmtId="0" fontId="34" fillId="17" borderId="5" xfId="0" applyFont="1" applyFill="1" applyBorder="1" applyAlignment="1">
      <alignment horizontal="center" wrapText="1"/>
    </xf>
    <xf numFmtId="168" fontId="48" fillId="9" borderId="58" xfId="0" applyNumberFormat="1" applyFont="1" applyFill="1" applyBorder="1" applyAlignment="1">
      <alignment horizontal="center" vertical="center" wrapText="1"/>
    </xf>
    <xf numFmtId="165" fontId="71" fillId="0" borderId="12" xfId="0" applyNumberFormat="1" applyFont="1" applyBorder="1" applyAlignment="1">
      <alignment horizontal="center" vertical="center"/>
    </xf>
    <xf numFmtId="169" fontId="70" fillId="0" borderId="20" xfId="0" applyNumberFormat="1" applyFont="1" applyBorder="1" applyAlignment="1">
      <alignment horizontal="center" vertical="center"/>
    </xf>
    <xf numFmtId="0" fontId="13" fillId="0" borderId="0" xfId="2" applyFont="1" applyAlignment="1">
      <alignment horizontal="left" vertical="center"/>
    </xf>
    <xf numFmtId="168" fontId="70" fillId="0" borderId="0" xfId="0" applyNumberFormat="1" applyFont="1" applyAlignment="1">
      <alignment horizontal="left"/>
    </xf>
    <xf numFmtId="0" fontId="8" fillId="0" borderId="6" xfId="0" applyFont="1" applyBorder="1" applyAlignment="1">
      <alignment horizontal="left" vertical="center"/>
    </xf>
    <xf numFmtId="0" fontId="6" fillId="0" borderId="6" xfId="0" applyFont="1" applyBorder="1" applyAlignment="1">
      <alignment horizontal="left"/>
    </xf>
    <xf numFmtId="0" fontId="6" fillId="0" borderId="8" xfId="0" applyFont="1" applyBorder="1" applyAlignment="1">
      <alignment horizontal="left"/>
    </xf>
    <xf numFmtId="168" fontId="6" fillId="0" borderId="4" xfId="0" applyNumberFormat="1" applyFont="1" applyBorder="1" applyAlignment="1">
      <alignment horizontal="center" vertical="center"/>
    </xf>
    <xf numFmtId="0" fontId="8" fillId="0" borderId="0" xfId="0" applyFont="1" applyAlignment="1">
      <alignment horizontal="left" vertical="center" wrapText="1"/>
    </xf>
    <xf numFmtId="0" fontId="4" fillId="0" borderId="0" xfId="0" applyFont="1" applyAlignment="1">
      <alignment horizontal="center" vertical="center"/>
    </xf>
    <xf numFmtId="0" fontId="95" fillId="0" borderId="0" xfId="0" applyFont="1" applyAlignment="1">
      <alignment horizontal="left" vertical="center" indent="2"/>
    </xf>
    <xf numFmtId="0" fontId="94" fillId="0" borderId="0" xfId="2" applyFont="1" applyAlignment="1">
      <alignment horizontal="left" vertical="center" wrapText="1" indent="2"/>
    </xf>
    <xf numFmtId="0" fontId="8" fillId="0" borderId="0" xfId="0" applyFont="1" applyAlignment="1">
      <alignment horizontal="left" vertical="top"/>
    </xf>
    <xf numFmtId="0" fontId="9" fillId="0" borderId="0" xfId="2" applyFont="1" applyAlignment="1">
      <alignment vertical="center"/>
    </xf>
    <xf numFmtId="0" fontId="9" fillId="0" borderId="0" xfId="2" applyFont="1" applyAlignment="1">
      <alignment horizontal="center" vertical="center"/>
    </xf>
    <xf numFmtId="0" fontId="94" fillId="0" borderId="0" xfId="2" applyFont="1" applyAlignment="1">
      <alignment horizontal="center" vertical="center"/>
    </xf>
    <xf numFmtId="0" fontId="4" fillId="0" borderId="0" xfId="0" applyFont="1" applyAlignment="1">
      <alignment horizontal="center"/>
    </xf>
    <xf numFmtId="0" fontId="8" fillId="0" borderId="0" xfId="0" applyFont="1" applyAlignment="1">
      <alignment wrapText="1"/>
    </xf>
    <xf numFmtId="0" fontId="8" fillId="0" borderId="0" xfId="0" applyFont="1" applyAlignment="1">
      <alignment horizontal="center"/>
    </xf>
    <xf numFmtId="0" fontId="94" fillId="0" borderId="0" xfId="0" applyFont="1" applyAlignment="1">
      <alignment horizontal="center" vertical="center"/>
    </xf>
    <xf numFmtId="0" fontId="9" fillId="0" borderId="0" xfId="2" applyFont="1" applyBorder="1"/>
    <xf numFmtId="6" fontId="94" fillId="0" borderId="0" xfId="0" applyNumberFormat="1" applyFont="1" applyAlignment="1">
      <alignment horizontal="center" vertical="center"/>
    </xf>
    <xf numFmtId="168" fontId="8" fillId="0" borderId="0" xfId="0" applyNumberFormat="1" applyFont="1"/>
    <xf numFmtId="0" fontId="97" fillId="0" borderId="0" xfId="0" applyFont="1" applyAlignment="1">
      <alignment horizontal="center"/>
    </xf>
    <xf numFmtId="0" fontId="8" fillId="0" borderId="0" xfId="0" quotePrefix="1" applyFont="1"/>
    <xf numFmtId="0" fontId="57" fillId="0" borderId="0" xfId="0" applyFont="1" applyAlignment="1">
      <alignment horizontal="center" vertical="center"/>
    </xf>
    <xf numFmtId="0" fontId="9" fillId="0" borderId="0" xfId="2" applyFont="1" applyFill="1"/>
    <xf numFmtId="0" fontId="94" fillId="0" borderId="0" xfId="0" applyFont="1" applyAlignment="1">
      <alignment vertical="center"/>
    </xf>
    <xf numFmtId="0" fontId="94" fillId="0" borderId="0" xfId="0" applyFont="1"/>
    <xf numFmtId="0" fontId="97" fillId="0" borderId="0" xfId="0" applyFont="1" applyAlignment="1">
      <alignment vertical="center"/>
    </xf>
    <xf numFmtId="0" fontId="96" fillId="0" borderId="0" xfId="0" applyFont="1" applyAlignment="1">
      <alignment vertical="center"/>
    </xf>
    <xf numFmtId="0" fontId="96" fillId="0" borderId="0" xfId="0" applyFont="1"/>
    <xf numFmtId="0" fontId="4" fillId="0" borderId="0" xfId="0" applyFont="1"/>
    <xf numFmtId="0" fontId="9" fillId="0" borderId="0" xfId="2" applyFont="1" applyFill="1" applyAlignment="1">
      <alignment vertical="center"/>
    </xf>
    <xf numFmtId="0" fontId="8" fillId="0" borderId="0" xfId="0" applyFont="1" applyAlignment="1">
      <alignment horizontal="left" vertical="center"/>
    </xf>
    <xf numFmtId="0" fontId="94" fillId="0" borderId="0" xfId="0" applyFont="1" applyAlignment="1">
      <alignment horizontal="left" vertical="center"/>
    </xf>
    <xf numFmtId="0" fontId="8" fillId="0" borderId="0" xfId="0" applyFont="1" applyAlignment="1">
      <alignment horizontal="left"/>
    </xf>
    <xf numFmtId="0" fontId="8" fillId="0" borderId="5" xfId="0" applyFont="1" applyBorder="1"/>
    <xf numFmtId="8" fontId="4" fillId="0" borderId="0" xfId="0" applyNumberFormat="1" applyFont="1"/>
    <xf numFmtId="6" fontId="4" fillId="0" borderId="0" xfId="0" applyNumberFormat="1" applyFont="1"/>
    <xf numFmtId="0" fontId="57" fillId="0" borderId="2" xfId="0" applyFont="1" applyBorder="1" applyAlignment="1">
      <alignment vertical="center"/>
    </xf>
    <xf numFmtId="0" fontId="57" fillId="0" borderId="3" xfId="0" applyFont="1" applyBorder="1" applyAlignment="1">
      <alignment vertical="center"/>
    </xf>
    <xf numFmtId="0" fontId="8" fillId="5" borderId="7" xfId="0" applyFont="1" applyFill="1" applyBorder="1"/>
    <xf numFmtId="0" fontId="56" fillId="0" borderId="0" xfId="0" applyFont="1" applyAlignment="1">
      <alignment vertical="center"/>
    </xf>
    <xf numFmtId="165" fontId="97" fillId="0" borderId="0" xfId="0" applyNumberFormat="1" applyFont="1"/>
    <xf numFmtId="165" fontId="96" fillId="0" borderId="0" xfId="0" applyNumberFormat="1" applyFont="1"/>
    <xf numFmtId="8" fontId="96" fillId="0" borderId="0" xfId="0" applyNumberFormat="1" applyFont="1" applyAlignment="1">
      <alignment horizontal="left" vertical="center"/>
    </xf>
    <xf numFmtId="165" fontId="9" fillId="0" borderId="0" xfId="2" applyNumberFormat="1" applyFont="1"/>
    <xf numFmtId="0" fontId="49" fillId="0" borderId="0" xfId="0" applyFont="1" applyAlignment="1">
      <alignment horizontal="left" vertical="top" wrapText="1"/>
    </xf>
    <xf numFmtId="0" fontId="50" fillId="0" borderId="0" xfId="0" applyFont="1" applyAlignment="1">
      <alignment horizontal="left" vertical="center" wrapText="1"/>
    </xf>
    <xf numFmtId="9" fontId="70" fillId="0" borderId="6" xfId="0" applyNumberFormat="1" applyFont="1" applyBorder="1" applyAlignment="1">
      <alignment horizontal="center" vertical="center"/>
    </xf>
    <xf numFmtId="9" fontId="70" fillId="0" borderId="8" xfId="0" applyNumberFormat="1" applyFont="1" applyBorder="1" applyAlignment="1">
      <alignment horizontal="center" vertical="center"/>
    </xf>
    <xf numFmtId="165" fontId="70" fillId="0" borderId="0" xfId="0" applyNumberFormat="1" applyFont="1" applyAlignment="1">
      <alignment horizontal="center"/>
    </xf>
    <xf numFmtId="168" fontId="70" fillId="0" borderId="98" xfId="0" applyNumberFormat="1" applyFont="1" applyBorder="1" applyAlignment="1">
      <alignment horizontal="center" vertical="center"/>
    </xf>
    <xf numFmtId="168" fontId="70" fillId="0" borderId="80" xfId="0" applyNumberFormat="1" applyFont="1" applyBorder="1" applyAlignment="1">
      <alignment horizontal="center" vertical="center"/>
    </xf>
    <xf numFmtId="1" fontId="70" fillId="0" borderId="80" xfId="0" applyNumberFormat="1" applyFont="1" applyBorder="1" applyAlignment="1">
      <alignment horizontal="center" vertical="center"/>
    </xf>
    <xf numFmtId="1" fontId="70" fillId="0" borderId="81" xfId="0" applyNumberFormat="1" applyFont="1" applyBorder="1" applyAlignment="1">
      <alignment horizontal="center" vertical="center"/>
    </xf>
    <xf numFmtId="165" fontId="70" fillId="0" borderId="0" xfId="0" applyNumberFormat="1" applyFont="1"/>
    <xf numFmtId="165" fontId="70" fillId="0" borderId="78" xfId="0" applyNumberFormat="1" applyFont="1" applyBorder="1"/>
    <xf numFmtId="168" fontId="70" fillId="0" borderId="0" xfId="0" applyNumberFormat="1" applyFont="1" applyAlignment="1">
      <alignment horizontal="right" vertical="center"/>
    </xf>
    <xf numFmtId="165" fontId="70" fillId="0" borderId="0" xfId="0" applyNumberFormat="1" applyFont="1" applyAlignment="1">
      <alignment horizontal="right" vertical="center"/>
    </xf>
    <xf numFmtId="168" fontId="70" fillId="0" borderId="7" xfId="0" applyNumberFormat="1" applyFont="1" applyBorder="1" applyAlignment="1">
      <alignment horizontal="left"/>
    </xf>
    <xf numFmtId="168" fontId="70" fillId="0" borderId="11" xfId="0" applyNumberFormat="1" applyFont="1" applyBorder="1" applyAlignment="1">
      <alignment horizontal="left" vertical="center"/>
    </xf>
    <xf numFmtId="1" fontId="70" fillId="0" borderId="8" xfId="0" applyNumberFormat="1" applyFont="1" applyBorder="1" applyAlignment="1">
      <alignment horizontal="left" vertical="center"/>
    </xf>
    <xf numFmtId="168" fontId="70" fillId="0" borderId="6" xfId="0" applyNumberFormat="1" applyFont="1" applyBorder="1" applyAlignment="1">
      <alignment horizontal="left"/>
    </xf>
    <xf numFmtId="165" fontId="70" fillId="0" borderId="0" xfId="0" applyNumberFormat="1" applyFont="1" applyAlignment="1">
      <alignment horizontal="left"/>
    </xf>
    <xf numFmtId="168" fontId="70" fillId="0" borderId="11" xfId="0" applyNumberFormat="1" applyFont="1" applyBorder="1" applyAlignment="1">
      <alignment horizontal="left"/>
    </xf>
    <xf numFmtId="168" fontId="70" fillId="0" borderId="8" xfId="0" applyNumberFormat="1" applyFont="1" applyBorder="1" applyAlignment="1">
      <alignment horizontal="left"/>
    </xf>
    <xf numFmtId="168" fontId="70" fillId="0" borderId="4" xfId="0" applyNumberFormat="1" applyFont="1" applyBorder="1" applyAlignment="1">
      <alignment horizontal="center"/>
    </xf>
    <xf numFmtId="168" fontId="70" fillId="0" borderId="4" xfId="0" applyNumberFormat="1" applyFont="1" applyBorder="1" applyAlignment="1">
      <alignment horizontal="center" vertical="center"/>
    </xf>
    <xf numFmtId="168" fontId="70" fillId="0" borderId="9" xfId="0" applyNumberFormat="1" applyFont="1" applyBorder="1" applyAlignment="1">
      <alignment horizontal="center" vertical="center"/>
    </xf>
    <xf numFmtId="6" fontId="98" fillId="0" borderId="0" xfId="0" applyNumberFormat="1" applyFont="1" applyAlignment="1">
      <alignment horizontal="center" vertical="center"/>
    </xf>
    <xf numFmtId="3" fontId="98" fillId="0" borderId="0" xfId="0" applyNumberFormat="1" applyFont="1" applyAlignment="1">
      <alignment horizontal="center" vertical="center"/>
    </xf>
    <xf numFmtId="0" fontId="70" fillId="0" borderId="0" xfId="0" applyFont="1" applyAlignment="1">
      <alignment horizontal="center"/>
    </xf>
    <xf numFmtId="0" fontId="42" fillId="0" borderId="12" xfId="0" applyFont="1" applyBorder="1" applyAlignment="1">
      <alignment horizontal="center" vertical="center"/>
    </xf>
    <xf numFmtId="9" fontId="71" fillId="0" borderId="12" xfId="0" applyNumberFormat="1" applyFont="1" applyBorder="1" applyAlignment="1">
      <alignment horizontal="center" vertical="center"/>
    </xf>
    <xf numFmtId="0" fontId="6" fillId="0" borderId="10" xfId="0" applyFont="1" applyBorder="1" applyAlignment="1">
      <alignment horizontal="center"/>
    </xf>
    <xf numFmtId="0" fontId="6" fillId="0" borderId="3" xfId="0" applyFont="1" applyBorder="1" applyAlignment="1">
      <alignment horizontal="center"/>
    </xf>
    <xf numFmtId="0" fontId="6" fillId="0" borderId="0" xfId="0" applyFont="1" applyAlignment="1">
      <alignment horizontal="center" vertical="top" wrapText="1"/>
    </xf>
    <xf numFmtId="0" fontId="6" fillId="0" borderId="0" xfId="0" quotePrefix="1" applyFont="1" applyAlignment="1">
      <alignment horizontal="center" wrapText="1"/>
    </xf>
    <xf numFmtId="0" fontId="6" fillId="0" borderId="56" xfId="0" applyFont="1" applyBorder="1" applyAlignment="1">
      <alignment horizontal="center" vertical="center"/>
    </xf>
    <xf numFmtId="0" fontId="7" fillId="0" borderId="4" xfId="0" applyFont="1" applyBorder="1" applyAlignment="1">
      <alignment horizontal="center" vertical="center"/>
    </xf>
    <xf numFmtId="0" fontId="6" fillId="0" borderId="54" xfId="0" applyFont="1" applyBorder="1" applyAlignment="1">
      <alignment horizontal="center"/>
    </xf>
    <xf numFmtId="0" fontId="6" fillId="0" borderId="57" xfId="0" applyFont="1" applyBorder="1" applyAlignment="1">
      <alignment horizontal="center"/>
    </xf>
    <xf numFmtId="0" fontId="6" fillId="0" borderId="58" xfId="0" applyFont="1" applyBorder="1" applyAlignment="1">
      <alignment horizontal="center"/>
    </xf>
    <xf numFmtId="0" fontId="13" fillId="0" borderId="0" xfId="2" applyFont="1" applyAlignment="1">
      <alignment horizontal="center" wrapText="1"/>
    </xf>
    <xf numFmtId="168" fontId="42" fillId="0" borderId="0" xfId="0" applyNumberFormat="1" applyFont="1" applyAlignment="1">
      <alignment horizontal="center" vertical="center"/>
    </xf>
    <xf numFmtId="168" fontId="35" fillId="0" borderId="0" xfId="0" applyNumberFormat="1" applyFont="1" applyAlignment="1">
      <alignment horizontal="center" vertical="center"/>
    </xf>
    <xf numFmtId="168" fontId="13" fillId="0" borderId="0" xfId="2" applyNumberFormat="1" applyFont="1" applyAlignment="1">
      <alignment horizontal="center" vertical="center" wrapText="1"/>
    </xf>
    <xf numFmtId="168" fontId="6" fillId="0" borderId="0" xfId="0" applyNumberFormat="1" applyFont="1" applyAlignment="1">
      <alignment horizontal="center" vertical="center" wrapText="1"/>
    </xf>
    <xf numFmtId="168" fontId="6" fillId="0" borderId="0" xfId="0" applyNumberFormat="1" applyFont="1" applyAlignment="1">
      <alignment horizontal="center" vertical="top"/>
    </xf>
    <xf numFmtId="0" fontId="6" fillId="0" borderId="0" xfId="0" applyFont="1" applyAlignment="1">
      <alignment horizontal="center" vertical="top"/>
    </xf>
    <xf numFmtId="3" fontId="15" fillId="0" borderId="0" xfId="0" applyNumberFormat="1" applyFont="1" applyAlignment="1">
      <alignment horizontal="center"/>
    </xf>
    <xf numFmtId="1" fontId="70" fillId="0" borderId="0" xfId="0" applyNumberFormat="1" applyFont="1" applyAlignment="1">
      <alignment horizontal="center" vertical="center"/>
    </xf>
    <xf numFmtId="0" fontId="6" fillId="0" borderId="0" xfId="0" quotePrefix="1" applyFont="1" applyAlignment="1">
      <alignment horizontal="center"/>
    </xf>
    <xf numFmtId="0" fontId="70" fillId="0" borderId="0" xfId="0" applyFont="1" applyAlignment="1">
      <alignment horizontal="center" vertical="center"/>
    </xf>
    <xf numFmtId="165" fontId="70" fillId="0" borderId="0" xfId="0" applyNumberFormat="1" applyFont="1" applyAlignment="1">
      <alignment horizontal="center" vertical="top"/>
    </xf>
    <xf numFmtId="165" fontId="70" fillId="0" borderId="0" xfId="0" applyNumberFormat="1" applyFont="1" applyAlignment="1">
      <alignment horizontal="center" vertical="center"/>
    </xf>
    <xf numFmtId="3" fontId="72" fillId="0" borderId="0" xfId="0" applyNumberFormat="1" applyFont="1" applyAlignment="1">
      <alignment horizontal="center"/>
    </xf>
    <xf numFmtId="168" fontId="70" fillId="0" borderId="0" xfId="0" applyNumberFormat="1" applyFont="1" applyAlignment="1">
      <alignment horizontal="center" vertical="center"/>
    </xf>
    <xf numFmtId="168" fontId="84" fillId="0" borderId="0" xfId="0" applyNumberFormat="1" applyFont="1" applyAlignment="1">
      <alignment horizontal="center" vertical="center"/>
    </xf>
    <xf numFmtId="168" fontId="70" fillId="0" borderId="0" xfId="0" applyNumberFormat="1" applyFont="1" applyAlignment="1">
      <alignment horizontal="center"/>
    </xf>
    <xf numFmtId="0" fontId="49" fillId="17" borderId="2" xfId="0" applyFont="1" applyFill="1" applyBorder="1" applyAlignment="1">
      <alignment horizontal="center" vertical="center"/>
    </xf>
    <xf numFmtId="0" fontId="50" fillId="0" borderId="10" xfId="0" applyFont="1" applyBorder="1" applyAlignment="1">
      <alignment horizontal="center" vertical="center"/>
    </xf>
    <xf numFmtId="0" fontId="50" fillId="0" borderId="5" xfId="0" applyFont="1" applyBorder="1" applyAlignment="1">
      <alignment horizontal="center" vertical="center"/>
    </xf>
    <xf numFmtId="0" fontId="50" fillId="0" borderId="6" xfId="0" applyFont="1" applyBorder="1" applyAlignment="1">
      <alignment horizontal="center" vertical="center"/>
    </xf>
    <xf numFmtId="6" fontId="50" fillId="0" borderId="5" xfId="0" applyNumberFormat="1" applyFont="1" applyBorder="1" applyAlignment="1">
      <alignment horizontal="center" vertical="center"/>
    </xf>
    <xf numFmtId="0" fontId="50" fillId="0" borderId="7" xfId="0" applyFont="1" applyBorder="1" applyAlignment="1">
      <alignment horizontal="center" vertical="center"/>
    </xf>
    <xf numFmtId="0" fontId="50" fillId="0" borderId="11" xfId="0" applyFont="1" applyBorder="1" applyAlignment="1">
      <alignment horizontal="center" vertical="center"/>
    </xf>
    <xf numFmtId="0" fontId="50" fillId="0" borderId="8" xfId="0" applyFont="1" applyBorder="1" applyAlignment="1">
      <alignment horizontal="center" vertical="center"/>
    </xf>
    <xf numFmtId="168" fontId="72" fillId="0" borderId="0" xfId="0" applyNumberFormat="1" applyFont="1" applyAlignment="1">
      <alignment horizontal="center"/>
    </xf>
    <xf numFmtId="3" fontId="72" fillId="0" borderId="0" xfId="0" applyNumberFormat="1" applyFont="1" applyAlignment="1">
      <alignment horizontal="center" vertical="center"/>
    </xf>
    <xf numFmtId="3" fontId="70" fillId="0" borderId="0" xfId="0" applyNumberFormat="1" applyFont="1" applyAlignment="1">
      <alignment horizontal="center" vertical="center"/>
    </xf>
    <xf numFmtId="6" fontId="72" fillId="0" borderId="0" xfId="0" applyNumberFormat="1" applyFont="1" applyAlignment="1">
      <alignment horizontal="center" vertical="center"/>
    </xf>
    <xf numFmtId="38" fontId="72" fillId="0" borderId="0" xfId="0" applyNumberFormat="1" applyFont="1" applyAlignment="1">
      <alignment horizontal="center" vertical="center"/>
    </xf>
    <xf numFmtId="1" fontId="72" fillId="0" borderId="0" xfId="0" applyNumberFormat="1" applyFont="1" applyAlignment="1">
      <alignment horizontal="center" vertical="center"/>
    </xf>
    <xf numFmtId="1" fontId="50" fillId="0" borderId="0" xfId="0" applyNumberFormat="1" applyFont="1" applyAlignment="1">
      <alignment horizontal="center" vertical="center"/>
    </xf>
    <xf numFmtId="6" fontId="83" fillId="0" borderId="0" xfId="0" applyNumberFormat="1" applyFont="1" applyAlignment="1">
      <alignment horizontal="center" vertical="center"/>
    </xf>
    <xf numFmtId="0" fontId="50" fillId="0" borderId="0" xfId="2" applyFont="1" applyBorder="1" applyAlignment="1">
      <alignment horizontal="center" vertical="center"/>
    </xf>
    <xf numFmtId="8" fontId="72" fillId="0" borderId="0" xfId="0" applyNumberFormat="1" applyFont="1" applyAlignment="1">
      <alignment horizontal="center" vertical="center"/>
    </xf>
    <xf numFmtId="0" fontId="8" fillId="0" borderId="5" xfId="0" applyFont="1" applyBorder="1" applyAlignment="1">
      <alignment horizontal="center"/>
    </xf>
    <xf numFmtId="0" fontId="57" fillId="0" borderId="0" xfId="0" applyFont="1" applyAlignment="1">
      <alignment horizontal="center"/>
    </xf>
    <xf numFmtId="0" fontId="8" fillId="0" borderId="0" xfId="0" applyFont="1" applyAlignment="1">
      <alignment horizontal="center" wrapText="1"/>
    </xf>
    <xf numFmtId="168" fontId="8" fillId="0" borderId="0" xfId="0" applyNumberFormat="1" applyFont="1" applyAlignment="1">
      <alignment horizontal="center"/>
    </xf>
    <xf numFmtId="0" fontId="6" fillId="5" borderId="12" xfId="0" applyFont="1" applyFill="1" applyBorder="1" applyAlignment="1">
      <alignment horizontal="center"/>
    </xf>
    <xf numFmtId="168" fontId="6" fillId="5" borderId="12" xfId="0" applyNumberFormat="1" applyFont="1" applyFill="1" applyBorder="1" applyAlignment="1">
      <alignment horizontal="center"/>
    </xf>
    <xf numFmtId="0" fontId="6" fillId="0" borderId="77" xfId="0" applyFont="1" applyBorder="1" applyAlignment="1">
      <alignment horizontal="center"/>
    </xf>
    <xf numFmtId="168" fontId="70" fillId="0" borderId="78" xfId="0" applyNumberFormat="1" applyFont="1" applyBorder="1" applyAlignment="1">
      <alignment horizontal="center"/>
    </xf>
    <xf numFmtId="0" fontId="6" fillId="0" borderId="79" xfId="0" applyFont="1" applyBorder="1" applyAlignment="1">
      <alignment horizontal="center"/>
    </xf>
    <xf numFmtId="168" fontId="70" fillId="0" borderId="80" xfId="0" applyNumberFormat="1" applyFont="1" applyBorder="1" applyAlignment="1">
      <alignment horizontal="center"/>
    </xf>
    <xf numFmtId="168" fontId="70" fillId="0" borderId="81" xfId="0" applyNumberFormat="1" applyFont="1" applyBorder="1" applyAlignment="1">
      <alignment horizontal="center"/>
    </xf>
    <xf numFmtId="0" fontId="13" fillId="0" borderId="0" xfId="2" applyFont="1" applyAlignment="1">
      <alignment horizontal="left" vertical="center" wrapText="1"/>
    </xf>
    <xf numFmtId="0" fontId="13" fillId="0" borderId="0" xfId="2" applyFont="1" applyBorder="1" applyAlignment="1">
      <alignment horizontal="left" vertical="center" wrapText="1"/>
    </xf>
    <xf numFmtId="168" fontId="50" fillId="0" borderId="0" xfId="0" applyNumberFormat="1" applyFont="1" applyAlignment="1">
      <alignment horizontal="center" vertical="center"/>
    </xf>
    <xf numFmtId="3" fontId="13" fillId="0" borderId="0" xfId="2" applyNumberFormat="1" applyFont="1" applyAlignment="1">
      <alignment vertical="center"/>
    </xf>
    <xf numFmtId="6" fontId="70" fillId="0" borderId="0" xfId="0" applyNumberFormat="1" applyFont="1" applyAlignment="1">
      <alignment horizontal="center"/>
    </xf>
    <xf numFmtId="6" fontId="70" fillId="0" borderId="0" xfId="0" applyNumberFormat="1" applyFont="1" applyAlignment="1">
      <alignment horizontal="center" vertical="center"/>
    </xf>
    <xf numFmtId="0" fontId="6" fillId="0" borderId="1" xfId="0" applyFont="1" applyBorder="1" applyAlignment="1">
      <alignment vertical="center" wrapText="1"/>
    </xf>
    <xf numFmtId="0" fontId="6" fillId="0" borderId="4" xfId="0" applyFont="1" applyBorder="1" applyAlignment="1">
      <alignment vertical="center" wrapText="1"/>
    </xf>
    <xf numFmtId="0" fontId="13" fillId="0" borderId="4" xfId="2" applyFont="1" applyBorder="1" applyAlignment="1">
      <alignment vertical="center" wrapText="1"/>
    </xf>
    <xf numFmtId="0" fontId="15" fillId="0" borderId="0" xfId="0" applyFont="1" applyAlignment="1">
      <alignment horizontal="center" vertical="top"/>
    </xf>
    <xf numFmtId="0" fontId="101" fillId="5" borderId="0" xfId="0" applyFont="1" applyFill="1"/>
    <xf numFmtId="165" fontId="72" fillId="0" borderId="80" xfId="0" applyNumberFormat="1" applyFont="1" applyBorder="1"/>
    <xf numFmtId="165" fontId="72" fillId="0" borderId="81" xfId="0" applyNumberFormat="1" applyFont="1" applyBorder="1"/>
    <xf numFmtId="0" fontId="7" fillId="0" borderId="80" xfId="0" applyFont="1" applyBorder="1" applyAlignment="1">
      <alignment horizontal="center" vertical="center"/>
    </xf>
    <xf numFmtId="168" fontId="72" fillId="0" borderId="80" xfId="0" applyNumberFormat="1" applyFont="1" applyBorder="1" applyAlignment="1">
      <alignment horizontal="right" vertical="center"/>
    </xf>
    <xf numFmtId="165" fontId="72" fillId="0" borderId="80" xfId="0" applyNumberFormat="1" applyFont="1" applyBorder="1" applyAlignment="1">
      <alignment horizontal="right" vertical="center"/>
    </xf>
    <xf numFmtId="0" fontId="5" fillId="0" borderId="0" xfId="0" applyFont="1" applyAlignment="1">
      <alignment horizontal="center" vertical="center"/>
    </xf>
    <xf numFmtId="0" fontId="44" fillId="0" borderId="0" xfId="0" applyFont="1" applyAlignment="1">
      <alignment horizontal="left" vertical="center" wrapText="1"/>
    </xf>
    <xf numFmtId="0" fontId="42" fillId="0" borderId="0" xfId="0" applyFont="1" applyAlignment="1">
      <alignment horizontal="left" vertical="center" wrapText="1"/>
    </xf>
    <xf numFmtId="0" fontId="34" fillId="0" borderId="0" xfId="0" applyFont="1" applyAlignment="1">
      <alignment horizontal="center" shrinkToFit="1"/>
    </xf>
    <xf numFmtId="0" fontId="28" fillId="12" borderId="1" xfId="0" applyFont="1" applyFill="1" applyBorder="1" applyAlignment="1">
      <alignment horizontal="center" vertical="center" wrapText="1"/>
    </xf>
    <xf numFmtId="0" fontId="44" fillId="9" borderId="12" xfId="0" applyFont="1" applyFill="1" applyBorder="1" applyAlignment="1">
      <alignment horizontal="center" vertical="center" wrapText="1"/>
    </xf>
    <xf numFmtId="0" fontId="42" fillId="9" borderId="20" xfId="0" applyFont="1" applyFill="1" applyBorder="1" applyAlignment="1">
      <alignment horizontal="center" vertical="center" wrapText="1"/>
    </xf>
    <xf numFmtId="0" fontId="44" fillId="9" borderId="20" xfId="0" applyFont="1" applyFill="1" applyBorder="1" applyAlignment="1">
      <alignment horizontal="center" vertical="center" wrapText="1"/>
    </xf>
    <xf numFmtId="0" fontId="28" fillId="0" borderId="0" xfId="0" applyFont="1" applyAlignment="1">
      <alignment vertical="center" wrapText="1"/>
    </xf>
    <xf numFmtId="0" fontId="26" fillId="0" borderId="0" xfId="0" applyFont="1" applyAlignment="1">
      <alignment vertical="center" wrapText="1"/>
    </xf>
    <xf numFmtId="0" fontId="14" fillId="0" borderId="0" xfId="0" applyFont="1" applyAlignment="1">
      <alignment vertical="center" wrapText="1"/>
    </xf>
    <xf numFmtId="0" fontId="30" fillId="0" borderId="0" xfId="0" applyFont="1" applyAlignment="1">
      <alignment vertical="center" wrapText="1"/>
    </xf>
    <xf numFmtId="0" fontId="14" fillId="0" borderId="0" xfId="0" applyFont="1" applyAlignment="1">
      <alignment horizontal="center" vertical="center" wrapText="1"/>
    </xf>
    <xf numFmtId="0" fontId="28" fillId="12" borderId="100" xfId="0" applyFont="1" applyFill="1" applyBorder="1" applyAlignment="1">
      <alignment horizontal="center" vertical="center" wrapText="1"/>
    </xf>
    <xf numFmtId="0" fontId="44" fillId="9" borderId="18" xfId="0" applyFont="1" applyFill="1" applyBorder="1" applyAlignment="1">
      <alignment horizontal="center" vertical="center" wrapText="1"/>
    </xf>
    <xf numFmtId="0" fontId="26" fillId="0" borderId="0" xfId="0" applyFont="1" applyAlignment="1">
      <alignment horizontal="center" vertical="center" wrapText="1"/>
    </xf>
    <xf numFmtId="0" fontId="2" fillId="0" borderId="0" xfId="2" applyBorder="1" applyAlignment="1">
      <alignment vertical="center"/>
    </xf>
    <xf numFmtId="168" fontId="48" fillId="0" borderId="0" xfId="0" applyNumberFormat="1" applyFont="1" applyAlignment="1">
      <alignment horizontal="center" vertical="center" wrapText="1"/>
    </xf>
    <xf numFmtId="0" fontId="39" fillId="0" borderId="75" xfId="0" applyFont="1" applyBorder="1" applyAlignment="1">
      <alignment vertical="center"/>
    </xf>
    <xf numFmtId="0" fontId="28" fillId="12" borderId="11" xfId="0" applyFont="1" applyFill="1" applyBorder="1" applyAlignment="1">
      <alignment horizontal="center" vertical="center" wrapText="1"/>
    </xf>
    <xf numFmtId="168" fontId="48" fillId="0" borderId="23" xfId="0" applyNumberFormat="1" applyFont="1" applyBorder="1" applyAlignment="1">
      <alignment horizontal="center" vertical="center" wrapText="1"/>
    </xf>
    <xf numFmtId="168" fontId="48" fillId="0" borderId="126" xfId="0" applyNumberFormat="1" applyFont="1" applyBorder="1" applyAlignment="1">
      <alignment horizontal="center" vertical="center" wrapText="1"/>
    </xf>
    <xf numFmtId="165" fontId="34" fillId="0" borderId="0" xfId="0" applyNumberFormat="1" applyFont="1" applyAlignment="1">
      <alignment horizontal="center" vertical="center" wrapText="1"/>
    </xf>
    <xf numFmtId="168" fontId="48" fillId="4" borderId="12" xfId="0" applyNumberFormat="1" applyFont="1" applyFill="1" applyBorder="1" applyAlignment="1">
      <alignment horizontal="center" vertical="center" wrapText="1"/>
    </xf>
    <xf numFmtId="168" fontId="48" fillId="4" borderId="21" xfId="0" applyNumberFormat="1" applyFont="1" applyFill="1" applyBorder="1" applyAlignment="1">
      <alignment horizontal="center" vertical="center" wrapText="1"/>
    </xf>
    <xf numFmtId="168" fontId="48" fillId="4" borderId="18" xfId="0" applyNumberFormat="1" applyFont="1" applyFill="1" applyBorder="1" applyAlignment="1">
      <alignment horizontal="center" vertical="center" wrapText="1"/>
    </xf>
    <xf numFmtId="168" fontId="48" fillId="4" borderId="20" xfId="0" applyNumberFormat="1" applyFont="1" applyFill="1" applyBorder="1" applyAlignment="1">
      <alignment horizontal="center" vertical="center" wrapText="1"/>
    </xf>
    <xf numFmtId="0" fontId="71" fillId="0" borderId="12" xfId="0" applyFont="1" applyBorder="1" applyAlignment="1">
      <alignment horizontal="center" vertical="center"/>
    </xf>
    <xf numFmtId="3" fontId="71" fillId="0" borderId="12" xfId="0" applyNumberFormat="1" applyFont="1" applyBorder="1" applyAlignment="1">
      <alignment horizontal="center" vertical="center"/>
    </xf>
    <xf numFmtId="168" fontId="42" fillId="0" borderId="12" xfId="0" applyNumberFormat="1" applyFont="1" applyBorder="1" applyAlignment="1">
      <alignment horizontal="center" vertical="center"/>
    </xf>
    <xf numFmtId="168" fontId="71" fillId="0" borderId="12" xfId="0" applyNumberFormat="1" applyFont="1" applyBorder="1" applyAlignment="1">
      <alignment horizontal="center" vertical="center"/>
    </xf>
    <xf numFmtId="168" fontId="71" fillId="0" borderId="18" xfId="0" applyNumberFormat="1" applyFont="1" applyBorder="1" applyAlignment="1">
      <alignment horizontal="center" vertical="center"/>
    </xf>
    <xf numFmtId="168" fontId="42" fillId="0" borderId="18" xfId="0" applyNumberFormat="1" applyFont="1" applyBorder="1" applyAlignment="1">
      <alignment horizontal="center" vertical="center"/>
    </xf>
    <xf numFmtId="168" fontId="99" fillId="0" borderId="20" xfId="0" applyNumberFormat="1" applyFont="1" applyBorder="1" applyAlignment="1">
      <alignment horizontal="center" vertical="center"/>
    </xf>
    <xf numFmtId="38" fontId="70" fillId="0" borderId="0" xfId="0" applyNumberFormat="1" applyFont="1" applyAlignment="1">
      <alignment horizontal="center" vertical="center"/>
    </xf>
    <xf numFmtId="5" fontId="70" fillId="0" borderId="0" xfId="0" applyNumberFormat="1" applyFont="1" applyAlignment="1">
      <alignment horizontal="center" vertical="center"/>
    </xf>
    <xf numFmtId="168" fontId="102" fillId="0" borderId="0" xfId="0" applyNumberFormat="1" applyFont="1" applyAlignment="1">
      <alignment horizontal="center" vertical="center"/>
    </xf>
    <xf numFmtId="0" fontId="7" fillId="13" borderId="17" xfId="0" applyFont="1" applyFill="1" applyBorder="1" applyAlignment="1">
      <alignment horizontal="left" vertical="center" wrapText="1"/>
    </xf>
    <xf numFmtId="0" fontId="7" fillId="12" borderId="17" xfId="0" applyFont="1" applyFill="1" applyBorder="1" applyAlignment="1">
      <alignment horizontal="center" vertical="center" wrapText="1"/>
    </xf>
    <xf numFmtId="0" fontId="7" fillId="12" borderId="19" xfId="0" applyFont="1" applyFill="1" applyBorder="1" applyAlignment="1">
      <alignment horizontal="center" vertical="center" wrapText="1"/>
    </xf>
    <xf numFmtId="0" fontId="13" fillId="0" borderId="0" xfId="2" applyFont="1" applyBorder="1" applyAlignment="1"/>
    <xf numFmtId="0" fontId="7" fillId="17" borderId="17" xfId="0" applyFont="1" applyFill="1" applyBorder="1" applyAlignment="1">
      <alignment horizontal="center" vertical="center"/>
    </xf>
    <xf numFmtId="0" fontId="7" fillId="17" borderId="18" xfId="0" applyFont="1" applyFill="1" applyBorder="1" applyAlignment="1">
      <alignment horizontal="center" vertical="center" wrapText="1"/>
    </xf>
    <xf numFmtId="0" fontId="6" fillId="0" borderId="74" xfId="0" applyFont="1" applyBorder="1" applyAlignment="1">
      <alignment vertical="center"/>
    </xf>
    <xf numFmtId="0" fontId="6" fillId="0" borderId="53" xfId="0" applyFont="1" applyBorder="1" applyAlignment="1">
      <alignment vertical="center"/>
    </xf>
    <xf numFmtId="10" fontId="6" fillId="0" borderId="0" xfId="0" applyNumberFormat="1" applyFont="1" applyAlignment="1">
      <alignment horizontal="center" vertical="center"/>
    </xf>
    <xf numFmtId="0" fontId="6" fillId="0" borderId="54" xfId="0" applyFont="1" applyBorder="1" applyAlignment="1">
      <alignment vertical="center"/>
    </xf>
    <xf numFmtId="0" fontId="6" fillId="0" borderId="57" xfId="0" applyFont="1" applyBorder="1" applyAlignment="1">
      <alignment vertical="center"/>
    </xf>
    <xf numFmtId="0" fontId="6" fillId="0" borderId="57" xfId="0" applyFont="1" applyBorder="1" applyAlignment="1">
      <alignment horizontal="center" vertical="center"/>
    </xf>
    <xf numFmtId="10" fontId="6" fillId="0" borderId="57" xfId="0" applyNumberFormat="1" applyFont="1" applyBorder="1" applyAlignment="1">
      <alignment horizontal="center" vertical="center"/>
    </xf>
    <xf numFmtId="10" fontId="6" fillId="0" borderId="80" xfId="0" applyNumberFormat="1"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168" fontId="103" fillId="0" borderId="12" xfId="0" applyNumberFormat="1" applyFont="1" applyBorder="1" applyAlignment="1">
      <alignment horizontal="center"/>
    </xf>
    <xf numFmtId="0" fontId="34" fillId="17" borderId="12" xfId="0" applyFont="1" applyFill="1" applyBorder="1" applyAlignment="1">
      <alignment horizontal="center"/>
    </xf>
    <xf numFmtId="0" fontId="34" fillId="17" borderId="18" xfId="0" applyFont="1" applyFill="1" applyBorder="1" applyAlignment="1">
      <alignment horizontal="center"/>
    </xf>
    <xf numFmtId="0" fontId="42" fillId="0" borderId="18" xfId="0" applyFont="1" applyBorder="1" applyAlignment="1">
      <alignment horizontal="center"/>
    </xf>
    <xf numFmtId="168" fontId="103" fillId="0" borderId="20" xfId="0" applyNumberFormat="1" applyFont="1" applyBorder="1" applyAlignment="1">
      <alignment horizontal="center"/>
    </xf>
    <xf numFmtId="0" fontId="42" fillId="0" borderId="21" xfId="0" applyFont="1" applyBorder="1" applyAlignment="1">
      <alignment horizontal="center"/>
    </xf>
    <xf numFmtId="0" fontId="36" fillId="0" borderId="0" xfId="0" applyFont="1"/>
    <xf numFmtId="0" fontId="81" fillId="0" borderId="12" xfId="0" applyFont="1" applyBorder="1" applyAlignment="1">
      <alignment horizontal="center" vertical="center"/>
    </xf>
    <xf numFmtId="168" fontId="81" fillId="0" borderId="12" xfId="0" applyNumberFormat="1" applyFont="1" applyBorder="1" applyAlignment="1">
      <alignment horizontal="center" vertical="center"/>
    </xf>
    <xf numFmtId="2" fontId="70" fillId="0" borderId="12" xfId="0" applyNumberFormat="1" applyFont="1" applyBorder="1" applyAlignment="1">
      <alignment horizontal="center" vertical="center"/>
    </xf>
    <xf numFmtId="2" fontId="70" fillId="0" borderId="18" xfId="0" applyNumberFormat="1" applyFont="1" applyBorder="1" applyAlignment="1">
      <alignment horizontal="center" vertical="center"/>
    </xf>
    <xf numFmtId="0" fontId="74" fillId="0" borderId="0" xfId="2" applyFont="1" applyAlignment="1">
      <alignment horizontal="left" vertical="top"/>
    </xf>
    <xf numFmtId="0" fontId="74" fillId="0" borderId="0" xfId="2" applyFont="1"/>
    <xf numFmtId="0" fontId="104" fillId="0" borderId="0" xfId="0" applyFont="1"/>
    <xf numFmtId="0" fontId="70" fillId="0" borderId="12" xfId="0" applyFont="1" applyBorder="1" applyAlignment="1">
      <alignment horizontal="center" vertical="center"/>
    </xf>
    <xf numFmtId="1" fontId="70" fillId="0" borderId="12" xfId="0" applyNumberFormat="1" applyFont="1" applyBorder="1" applyAlignment="1">
      <alignment horizontal="center" vertical="center"/>
    </xf>
    <xf numFmtId="0" fontId="6" fillId="0" borderId="12" xfId="0" applyFont="1" applyBorder="1" applyAlignment="1">
      <alignment horizontal="center" vertical="center"/>
    </xf>
    <xf numFmtId="0" fontId="6" fillId="0" borderId="18" xfId="0" applyFont="1" applyBorder="1" applyAlignment="1">
      <alignment horizontal="center" vertical="center"/>
    </xf>
    <xf numFmtId="168" fontId="70" fillId="0" borderId="12" xfId="0" applyNumberFormat="1" applyFont="1" applyBorder="1" applyAlignment="1">
      <alignment horizontal="center" vertical="center"/>
    </xf>
    <xf numFmtId="168" fontId="70" fillId="0" borderId="18" xfId="0" applyNumberFormat="1" applyFont="1" applyBorder="1" applyAlignment="1">
      <alignment horizontal="center" vertical="center"/>
    </xf>
    <xf numFmtId="168" fontId="72" fillId="0" borderId="20" xfId="0" applyNumberFormat="1" applyFont="1" applyBorder="1" applyAlignment="1">
      <alignment horizontal="center" vertical="center"/>
    </xf>
    <xf numFmtId="168" fontId="72" fillId="0" borderId="21" xfId="0" applyNumberFormat="1" applyFont="1" applyBorder="1" applyAlignment="1">
      <alignment horizontal="center" vertical="center"/>
    </xf>
    <xf numFmtId="1" fontId="102" fillId="0" borderId="12" xfId="0" applyNumberFormat="1" applyFont="1" applyBorder="1" applyAlignment="1">
      <alignment horizontal="center" vertical="center"/>
    </xf>
    <xf numFmtId="168" fontId="102" fillId="0" borderId="12" xfId="0" applyNumberFormat="1" applyFont="1" applyBorder="1" applyAlignment="1">
      <alignment horizontal="center" vertical="center"/>
    </xf>
    <xf numFmtId="0" fontId="105" fillId="0" borderId="0" xfId="0" applyFont="1"/>
    <xf numFmtId="0" fontId="34" fillId="17" borderId="17" xfId="0" applyFont="1" applyFill="1" applyBorder="1" applyAlignment="1">
      <alignment horizontal="center" vertical="center"/>
    </xf>
    <xf numFmtId="0" fontId="34" fillId="17" borderId="18" xfId="0" applyFont="1" applyFill="1" applyBorder="1" applyAlignment="1">
      <alignment horizontal="center" vertical="center"/>
    </xf>
    <xf numFmtId="0" fontId="6" fillId="0" borderId="20" xfId="0" applyFont="1" applyBorder="1"/>
    <xf numFmtId="0" fontId="42" fillId="0" borderId="18" xfId="0" applyFont="1" applyBorder="1" applyAlignment="1">
      <alignment horizontal="center" vertical="center"/>
    </xf>
    <xf numFmtId="0" fontId="6" fillId="0" borderId="21" xfId="0" applyFont="1" applyBorder="1" applyAlignment="1">
      <alignment vertical="center"/>
    </xf>
    <xf numFmtId="165" fontId="42" fillId="0" borderId="0" xfId="0" applyNumberFormat="1" applyFont="1" applyAlignment="1">
      <alignment horizontal="center" vertical="center" wrapText="1"/>
    </xf>
    <xf numFmtId="0" fontId="42" fillId="0" borderId="22" xfId="0" applyFont="1" applyBorder="1" applyAlignment="1">
      <alignment horizontal="center" vertical="center"/>
    </xf>
    <xf numFmtId="1" fontId="71" fillId="0" borderId="22" xfId="0" applyNumberFormat="1" applyFont="1" applyBorder="1" applyAlignment="1">
      <alignment horizontal="center" vertical="center"/>
    </xf>
    <xf numFmtId="3" fontId="71" fillId="0" borderId="18" xfId="0" applyNumberFormat="1" applyFont="1" applyBorder="1" applyAlignment="1">
      <alignment horizontal="center" vertical="center"/>
    </xf>
    <xf numFmtId="168" fontId="71" fillId="0" borderId="1" xfId="0" applyNumberFormat="1" applyFont="1" applyBorder="1" applyAlignment="1">
      <alignment horizontal="center" vertical="center"/>
    </xf>
    <xf numFmtId="168" fontId="42" fillId="0" borderId="1" xfId="0" applyNumberFormat="1" applyFont="1" applyBorder="1" applyAlignment="1">
      <alignment horizontal="center" vertical="center"/>
    </xf>
    <xf numFmtId="168" fontId="42" fillId="0" borderId="2" xfId="0" applyNumberFormat="1" applyFont="1" applyBorder="1" applyAlignment="1">
      <alignment horizontal="center" vertical="center"/>
    </xf>
    <xf numFmtId="168" fontId="71" fillId="0" borderId="22" xfId="0" applyNumberFormat="1" applyFont="1" applyBorder="1" applyAlignment="1">
      <alignment horizontal="center" vertical="center"/>
    </xf>
    <xf numFmtId="168" fontId="34" fillId="0" borderId="12" xfId="0" applyNumberFormat="1" applyFont="1" applyBorder="1" applyAlignment="1">
      <alignment horizontal="center" vertical="center"/>
    </xf>
    <xf numFmtId="0" fontId="42" fillId="0" borderId="25" xfId="0" applyFont="1" applyBorder="1" applyAlignment="1">
      <alignment horizontal="center" vertical="center"/>
    </xf>
    <xf numFmtId="165" fontId="71" fillId="0" borderId="9" xfId="0" applyNumberFormat="1" applyFont="1" applyBorder="1" applyAlignment="1">
      <alignment horizontal="center" vertical="center"/>
    </xf>
    <xf numFmtId="165" fontId="71" fillId="0" borderId="7" xfId="0" applyNumberFormat="1" applyFont="1" applyBorder="1" applyAlignment="1">
      <alignment horizontal="center" vertical="center"/>
    </xf>
    <xf numFmtId="165" fontId="71" fillId="0" borderId="22" xfId="0" applyNumberFormat="1" applyFont="1" applyBorder="1" applyAlignment="1">
      <alignment horizontal="center" vertical="center"/>
    </xf>
    <xf numFmtId="165" fontId="71" fillId="0" borderId="18" xfId="0" applyNumberFormat="1" applyFont="1" applyBorder="1" applyAlignment="1">
      <alignment horizontal="center" vertical="center"/>
    </xf>
    <xf numFmtId="165" fontId="99" fillId="0" borderId="57" xfId="0" applyNumberFormat="1" applyFont="1" applyBorder="1" applyAlignment="1">
      <alignment horizontal="center" vertical="center"/>
    </xf>
    <xf numFmtId="165" fontId="99" fillId="0" borderId="127" xfId="0" applyNumberFormat="1" applyFont="1" applyBorder="1" applyAlignment="1">
      <alignment horizontal="center" vertical="center"/>
    </xf>
    <xf numFmtId="165" fontId="99" fillId="0" borderId="20" xfId="0" applyNumberFormat="1" applyFont="1" applyBorder="1" applyAlignment="1">
      <alignment horizontal="center" vertical="center"/>
    </xf>
    <xf numFmtId="165" fontId="99" fillId="0" borderId="128" xfId="0" applyNumberFormat="1" applyFont="1" applyBorder="1" applyAlignment="1">
      <alignment horizontal="center" vertical="center"/>
    </xf>
    <xf numFmtId="165" fontId="99" fillId="0" borderId="21" xfId="0" applyNumberFormat="1" applyFont="1" applyBorder="1" applyAlignment="1">
      <alignment horizontal="center" vertical="center"/>
    </xf>
    <xf numFmtId="0" fontId="34" fillId="0" borderId="17" xfId="0" applyFont="1" applyBorder="1" applyAlignment="1">
      <alignment vertical="center"/>
    </xf>
    <xf numFmtId="0" fontId="34" fillId="0" borderId="19" xfId="0" applyFont="1" applyBorder="1" applyAlignment="1">
      <alignment vertical="center"/>
    </xf>
    <xf numFmtId="0" fontId="20" fillId="0" borderId="0" xfId="0" applyFont="1" applyAlignment="1">
      <alignment horizontal="left" vertical="center" shrinkToFit="1"/>
    </xf>
    <xf numFmtId="0" fontId="49" fillId="9" borderId="0" xfId="0" applyFont="1" applyFill="1" applyAlignment="1">
      <alignment horizontal="left" vertical="top" shrinkToFit="1"/>
    </xf>
    <xf numFmtId="0" fontId="7" fillId="17" borderId="53" xfId="0" applyFont="1" applyFill="1" applyBorder="1" applyAlignment="1">
      <alignment horizontal="center" vertical="center"/>
    </xf>
    <xf numFmtId="0" fontId="7" fillId="17" borderId="4" xfId="0" applyFont="1" applyFill="1" applyBorder="1" applyAlignment="1">
      <alignment horizontal="center" vertical="center"/>
    </xf>
    <xf numFmtId="0" fontId="7" fillId="17" borderId="56" xfId="0" applyFont="1" applyFill="1" applyBorder="1" applyAlignment="1">
      <alignment horizontal="center" vertical="center"/>
    </xf>
    <xf numFmtId="168" fontId="72" fillId="0" borderId="56" xfId="0" applyNumberFormat="1" applyFont="1" applyBorder="1" applyAlignment="1">
      <alignment horizontal="center"/>
    </xf>
    <xf numFmtId="0" fontId="6" fillId="0" borderId="4" xfId="0" applyFont="1" applyBorder="1" applyAlignment="1">
      <alignment horizontal="center" vertical="center" wrapText="1"/>
    </xf>
    <xf numFmtId="168" fontId="72" fillId="0" borderId="58" xfId="0" applyNumberFormat="1" applyFont="1" applyBorder="1" applyAlignment="1">
      <alignment horizontal="center"/>
    </xf>
    <xf numFmtId="0" fontId="59" fillId="0" borderId="0" xfId="2" applyFont="1" applyBorder="1" applyAlignment="1">
      <alignment vertical="center"/>
    </xf>
    <xf numFmtId="9" fontId="70" fillId="0" borderId="78" xfId="0" applyNumberFormat="1" applyFont="1" applyBorder="1" applyAlignment="1">
      <alignment horizontal="center"/>
    </xf>
    <xf numFmtId="0" fontId="6" fillId="0" borderId="80" xfId="0" applyFont="1" applyBorder="1" applyAlignment="1">
      <alignment horizontal="center"/>
    </xf>
    <xf numFmtId="9" fontId="70" fillId="0" borderId="81" xfId="0" applyNumberFormat="1" applyFont="1" applyBorder="1" applyAlignment="1">
      <alignment horizontal="center"/>
    </xf>
    <xf numFmtId="0" fontId="69" fillId="0" borderId="0" xfId="0" applyFont="1" applyAlignment="1">
      <alignment vertical="center" wrapText="1"/>
    </xf>
    <xf numFmtId="0" fontId="35" fillId="0" borderId="0" xfId="0" applyFont="1" applyAlignment="1">
      <alignment vertical="center" wrapText="1"/>
    </xf>
    <xf numFmtId="10" fontId="71" fillId="0" borderId="0" xfId="0" applyNumberFormat="1" applyFont="1" applyAlignment="1">
      <alignment horizontal="center"/>
    </xf>
    <xf numFmtId="168" fontId="102" fillId="0" borderId="0" xfId="2" applyNumberFormat="1" applyFont="1" applyAlignment="1">
      <alignment horizontal="center" vertical="center" wrapText="1"/>
    </xf>
    <xf numFmtId="168" fontId="106" fillId="0" borderId="0" xfId="2" applyNumberFormat="1" applyFont="1" applyAlignment="1">
      <alignment horizontal="center" vertical="center"/>
    </xf>
    <xf numFmtId="168" fontId="7" fillId="0" borderId="0" xfId="0" applyNumberFormat="1" applyFont="1" applyAlignment="1">
      <alignment horizontal="center" vertical="top"/>
    </xf>
    <xf numFmtId="168" fontId="102" fillId="0" borderId="0" xfId="0" applyNumberFormat="1" applyFont="1" applyAlignment="1">
      <alignment horizontal="center" vertical="center" wrapText="1"/>
    </xf>
    <xf numFmtId="6" fontId="7" fillId="0" borderId="0" xfId="0" applyNumberFormat="1" applyFont="1" applyAlignment="1">
      <alignment horizontal="center" vertical="center"/>
    </xf>
    <xf numFmtId="6" fontId="6" fillId="0" borderId="0" xfId="0" applyNumberFormat="1" applyFont="1" applyAlignment="1">
      <alignment horizontal="center" vertical="center" wrapText="1"/>
    </xf>
    <xf numFmtId="0" fontId="107" fillId="0" borderId="0" xfId="0" applyFont="1" applyAlignment="1">
      <alignment horizontal="center" vertical="center"/>
    </xf>
    <xf numFmtId="0" fontId="50" fillId="0" borderId="0" xfId="2" applyFont="1" applyAlignment="1">
      <alignment horizontal="center" vertical="center" wrapText="1"/>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13" fillId="0" borderId="0" xfId="2" applyFont="1" applyAlignment="1">
      <alignment horizontal="center"/>
    </xf>
    <xf numFmtId="168" fontId="70" fillId="0" borderId="6" xfId="0" applyNumberFormat="1" applyFont="1" applyBorder="1" applyAlignment="1">
      <alignment horizontal="center" vertical="center"/>
    </xf>
    <xf numFmtId="0" fontId="6" fillId="0" borderId="9" xfId="0" applyFont="1" applyBorder="1" applyAlignment="1">
      <alignment horizontal="center" vertical="center"/>
    </xf>
    <xf numFmtId="6" fontId="102" fillId="0" borderId="0" xfId="0" applyNumberFormat="1" applyFont="1" applyAlignment="1">
      <alignment horizontal="center" vertical="center"/>
    </xf>
    <xf numFmtId="0" fontId="15" fillId="0" borderId="0" xfId="0" applyFont="1" applyAlignment="1">
      <alignment vertical="center" wrapText="1"/>
    </xf>
    <xf numFmtId="171" fontId="61" fillId="0" borderId="0" xfId="8" applyNumberFormat="1" applyFont="1" applyBorder="1" applyAlignment="1">
      <alignment horizontal="right" wrapText="1"/>
    </xf>
    <xf numFmtId="171" fontId="16" fillId="0" borderId="0" xfId="8" applyNumberFormat="1" applyFont="1" applyBorder="1" applyAlignment="1">
      <alignment horizontal="right" wrapText="1"/>
    </xf>
    <xf numFmtId="170" fontId="16" fillId="0" borderId="0" xfId="8" applyNumberFormat="1" applyFont="1" applyBorder="1" applyAlignment="1">
      <alignment horizontal="right" wrapText="1"/>
    </xf>
    <xf numFmtId="170" fontId="61" fillId="0" borderId="0" xfId="8" applyNumberFormat="1" applyFont="1" applyBorder="1" applyAlignment="1">
      <alignment horizontal="right" wrapText="1"/>
    </xf>
    <xf numFmtId="0" fontId="16" fillId="0" borderId="0" xfId="5" applyFont="1" applyBorder="1">
      <alignment wrapText="1"/>
    </xf>
    <xf numFmtId="39" fontId="16" fillId="0" borderId="0" xfId="8" applyNumberFormat="1" applyFont="1" applyBorder="1" applyAlignment="1">
      <alignment horizontal="right" wrapText="1"/>
    </xf>
    <xf numFmtId="0" fontId="16" fillId="0" borderId="0" xfId="5" applyFont="1" applyBorder="1" applyAlignment="1">
      <alignment horizontal="left" wrapText="1" indent="2"/>
    </xf>
    <xf numFmtId="0" fontId="57" fillId="17" borderId="0" xfId="0" applyFont="1" applyFill="1" applyAlignment="1">
      <alignment horizontal="center" vertical="center" wrapText="1"/>
    </xf>
    <xf numFmtId="0" fontId="4" fillId="17" borderId="0" xfId="0" applyFont="1" applyFill="1" applyAlignment="1">
      <alignment horizontal="center" wrapText="1"/>
    </xf>
    <xf numFmtId="168" fontId="102" fillId="0" borderId="4" xfId="0" applyNumberFormat="1" applyFont="1" applyBorder="1" applyAlignment="1">
      <alignment horizontal="center" vertical="center"/>
    </xf>
    <xf numFmtId="3" fontId="44" fillId="0" borderId="18" xfId="0" applyNumberFormat="1" applyFont="1" applyBorder="1" applyAlignment="1">
      <alignment horizontal="center" vertical="center"/>
    </xf>
    <xf numFmtId="168" fontId="44" fillId="0" borderId="18" xfId="0" applyNumberFormat="1" applyFont="1" applyBorder="1" applyAlignment="1">
      <alignment horizontal="center" vertical="center"/>
    </xf>
    <xf numFmtId="168" fontId="81" fillId="0" borderId="12" xfId="0" applyNumberFormat="1" applyFont="1" applyBorder="1" applyAlignment="1">
      <alignment horizontal="center" vertical="top"/>
    </xf>
    <xf numFmtId="168" fontId="108" fillId="0" borderId="20" xfId="0" applyNumberFormat="1" applyFont="1" applyBorder="1" applyAlignment="1">
      <alignment horizontal="center" vertical="center" wrapText="1"/>
    </xf>
    <xf numFmtId="0" fontId="7" fillId="0" borderId="18" xfId="0" applyFont="1" applyBorder="1" applyAlignment="1">
      <alignment horizontal="center" vertical="center" wrapText="1"/>
    </xf>
    <xf numFmtId="168" fontId="70" fillId="0" borderId="78" xfId="0" applyNumberFormat="1" applyFont="1" applyBorder="1" applyAlignment="1">
      <alignment horizontal="center" vertical="center"/>
    </xf>
    <xf numFmtId="168" fontId="109" fillId="0" borderId="0" xfId="2" applyNumberFormat="1" applyFont="1" applyBorder="1" applyAlignment="1">
      <alignment horizontal="center" vertical="center"/>
    </xf>
    <xf numFmtId="168" fontId="109" fillId="0" borderId="78" xfId="2" applyNumberFormat="1" applyFont="1" applyBorder="1" applyAlignment="1">
      <alignment horizontal="center" vertical="center"/>
    </xf>
    <xf numFmtId="168" fontId="72" fillId="0" borderId="80" xfId="0" applyNumberFormat="1" applyFont="1" applyBorder="1" applyAlignment="1">
      <alignment horizontal="center"/>
    </xf>
    <xf numFmtId="168" fontId="72" fillId="0" borderId="81" xfId="0" applyNumberFormat="1" applyFont="1" applyBorder="1" applyAlignment="1">
      <alignment horizontal="center"/>
    </xf>
    <xf numFmtId="168" fontId="102" fillId="0" borderId="0" xfId="2" applyNumberFormat="1" applyFont="1" applyBorder="1" applyAlignment="1">
      <alignment horizontal="center"/>
    </xf>
    <xf numFmtId="168" fontId="102" fillId="0" borderId="78" xfId="2" applyNumberFormat="1" applyFont="1" applyBorder="1" applyAlignment="1">
      <alignment horizontal="center"/>
    </xf>
    <xf numFmtId="165" fontId="70" fillId="0" borderId="12" xfId="0" applyNumberFormat="1" applyFont="1" applyBorder="1" applyAlignment="1">
      <alignment horizontal="center" vertical="center"/>
    </xf>
    <xf numFmtId="9" fontId="70" fillId="0" borderId="18" xfId="0" applyNumberFormat="1" applyFont="1" applyBorder="1" applyAlignment="1">
      <alignment horizontal="center" vertical="center"/>
    </xf>
    <xf numFmtId="0" fontId="110" fillId="0" borderId="20" xfId="0" applyFont="1" applyBorder="1" applyAlignment="1">
      <alignment vertical="center"/>
    </xf>
    <xf numFmtId="0" fontId="6" fillId="0" borderId="13" xfId="0" applyFont="1" applyBorder="1" applyAlignment="1">
      <alignment horizontal="center" wrapText="1"/>
    </xf>
    <xf numFmtId="0" fontId="6" fillId="0" borderId="82" xfId="0" applyFont="1" applyBorder="1" applyAlignment="1">
      <alignment horizontal="center" wrapText="1"/>
    </xf>
    <xf numFmtId="0" fontId="6" fillId="0" borderId="80" xfId="0" applyFont="1" applyBorder="1" applyAlignment="1">
      <alignment horizontal="center" vertical="center"/>
    </xf>
    <xf numFmtId="0" fontId="6" fillId="0" borderId="83" xfId="0" applyFont="1" applyBorder="1" applyAlignment="1">
      <alignment horizontal="center" wrapText="1"/>
    </xf>
    <xf numFmtId="0" fontId="6" fillId="0" borderId="84" xfId="0" applyFont="1" applyBorder="1" applyAlignment="1">
      <alignment horizontal="center" wrapText="1"/>
    </xf>
    <xf numFmtId="0" fontId="50" fillId="0" borderId="12" xfId="0" applyFont="1" applyBorder="1" applyAlignment="1">
      <alignment horizontal="center" vertical="center"/>
    </xf>
    <xf numFmtId="3" fontId="70" fillId="0" borderId="12" xfId="0" applyNumberFormat="1" applyFont="1" applyBorder="1" applyAlignment="1">
      <alignment horizontal="center" vertical="center"/>
    </xf>
    <xf numFmtId="0" fontId="50" fillId="0" borderId="18" xfId="0" applyFont="1" applyBorder="1" applyAlignment="1">
      <alignment horizontal="center" vertical="center"/>
    </xf>
    <xf numFmtId="168" fontId="50" fillId="0" borderId="12" xfId="0" applyNumberFormat="1" applyFont="1" applyBorder="1" applyAlignment="1">
      <alignment horizontal="center" vertical="center"/>
    </xf>
    <xf numFmtId="168" fontId="50" fillId="0" borderId="18" xfId="0" applyNumberFormat="1" applyFont="1" applyBorder="1" applyAlignment="1">
      <alignment horizontal="center" vertical="center"/>
    </xf>
    <xf numFmtId="4" fontId="6" fillId="0" borderId="12" xfId="0" applyNumberFormat="1" applyFont="1" applyBorder="1" applyAlignment="1">
      <alignment horizontal="center" vertical="center"/>
    </xf>
    <xf numFmtId="0" fontId="7" fillId="0" borderId="17" xfId="0" applyFont="1" applyBorder="1" applyAlignment="1">
      <alignment vertical="center"/>
    </xf>
    <xf numFmtId="0" fontId="7" fillId="0" borderId="19" xfId="0" applyFont="1" applyBorder="1" applyAlignment="1">
      <alignment vertical="center"/>
    </xf>
    <xf numFmtId="0" fontId="6" fillId="0" borderId="6" xfId="0" applyFont="1" applyBorder="1" applyAlignment="1">
      <alignment horizontal="center"/>
    </xf>
    <xf numFmtId="0" fontId="6" fillId="4" borderId="5" xfId="0" applyFont="1" applyFill="1" applyBorder="1"/>
    <xf numFmtId="0" fontId="6" fillId="4" borderId="0" xfId="0" applyFont="1" applyFill="1"/>
    <xf numFmtId="0" fontId="6" fillId="4" borderId="0" xfId="0" applyFont="1" applyFill="1" applyAlignment="1">
      <alignment horizontal="center" vertical="center"/>
    </xf>
    <xf numFmtId="0" fontId="6" fillId="4" borderId="0" xfId="0" applyFont="1" applyFill="1" applyAlignment="1">
      <alignment horizontal="center"/>
    </xf>
    <xf numFmtId="0" fontId="6" fillId="4" borderId="6" xfId="0" applyFont="1" applyFill="1" applyBorder="1" applyAlignment="1">
      <alignment horizontal="center"/>
    </xf>
    <xf numFmtId="0" fontId="6" fillId="0" borderId="11" xfId="0" applyFont="1" applyBorder="1" applyAlignment="1">
      <alignment horizontal="center" vertical="center"/>
    </xf>
    <xf numFmtId="0" fontId="6" fillId="0" borderId="11" xfId="0" applyFont="1" applyBorder="1" applyAlignment="1">
      <alignment horizontal="center"/>
    </xf>
    <xf numFmtId="0" fontId="6" fillId="0" borderId="8" xfId="0" applyFont="1" applyBorder="1" applyAlignment="1">
      <alignment horizontal="center"/>
    </xf>
    <xf numFmtId="165" fontId="70" fillId="0" borderId="6" xfId="0" applyNumberFormat="1" applyFont="1" applyBorder="1" applyAlignment="1">
      <alignment horizontal="center"/>
    </xf>
    <xf numFmtId="165" fontId="70" fillId="0" borderId="8" xfId="0" applyNumberFormat="1" applyFont="1" applyBorder="1" applyAlignment="1">
      <alignment horizontal="center"/>
    </xf>
    <xf numFmtId="8" fontId="6" fillId="0" borderId="0" xfId="0" applyNumberFormat="1" applyFont="1" applyAlignment="1">
      <alignment horizontal="center" vertical="center"/>
    </xf>
    <xf numFmtId="0" fontId="6" fillId="0" borderId="6" xfId="0" applyFont="1" applyBorder="1" applyAlignment="1">
      <alignment horizontal="center" vertical="center"/>
    </xf>
    <xf numFmtId="0" fontId="70" fillId="0" borderId="11" xfId="0" applyFont="1" applyBorder="1" applyAlignment="1">
      <alignment horizontal="center" vertical="center"/>
    </xf>
    <xf numFmtId="0" fontId="6" fillId="0" borderId="8" xfId="0" applyFont="1" applyBorder="1" applyAlignment="1">
      <alignment horizontal="center" vertical="center"/>
    </xf>
    <xf numFmtId="0" fontId="15" fillId="4" borderId="0" xfId="0" applyFont="1" applyFill="1"/>
    <xf numFmtId="0" fontId="7" fillId="0" borderId="5" xfId="0" applyFont="1" applyBorder="1" applyAlignment="1">
      <alignment horizontal="center" vertical="center" wrapText="1"/>
    </xf>
    <xf numFmtId="0" fontId="6" fillId="0" borderId="6" xfId="0" applyFont="1" applyBorder="1" applyAlignment="1">
      <alignment horizontal="left" vertical="center" wrapText="1"/>
    </xf>
    <xf numFmtId="0" fontId="50" fillId="0" borderId="6" xfId="0" applyFont="1" applyBorder="1" applyAlignment="1">
      <alignment horizontal="left" vertical="center" wrapText="1"/>
    </xf>
    <xf numFmtId="0" fontId="7" fillId="0" borderId="7" xfId="0" applyFont="1" applyBorder="1" applyAlignment="1">
      <alignment horizontal="center" vertical="center" wrapText="1"/>
    </xf>
    <xf numFmtId="0" fontId="6" fillId="0" borderId="8" xfId="0" applyFont="1" applyBorder="1" applyAlignment="1">
      <alignment horizontal="left" vertical="center" wrapText="1"/>
    </xf>
    <xf numFmtId="0" fontId="7" fillId="0" borderId="77" xfId="0" applyFont="1" applyBorder="1" applyAlignment="1">
      <alignment vertical="center" wrapText="1"/>
    </xf>
    <xf numFmtId="0" fontId="50" fillId="0" borderId="78" xfId="0" applyFont="1" applyBorder="1" applyAlignment="1">
      <alignment vertical="center" wrapText="1"/>
    </xf>
    <xf numFmtId="0" fontId="7" fillId="0" borderId="79" xfId="0" applyFont="1" applyBorder="1" applyAlignment="1">
      <alignment vertical="center"/>
    </xf>
    <xf numFmtId="0" fontId="50" fillId="0" borderId="81" xfId="0" applyFont="1" applyBorder="1" applyAlignment="1">
      <alignment wrapText="1"/>
    </xf>
    <xf numFmtId="0" fontId="7" fillId="0" borderId="117" xfId="0" applyFont="1" applyBorder="1" applyAlignment="1">
      <alignment horizontal="center" vertical="top"/>
    </xf>
    <xf numFmtId="0" fontId="6" fillId="0" borderId="118" xfId="0" applyFont="1" applyBorder="1" applyAlignment="1">
      <alignment horizontal="center"/>
    </xf>
    <xf numFmtId="2" fontId="72" fillId="0" borderId="119" xfId="0" applyNumberFormat="1" applyFont="1" applyBorder="1" applyAlignment="1">
      <alignment horizontal="center"/>
    </xf>
    <xf numFmtId="0" fontId="50" fillId="0" borderId="77" xfId="0" applyFont="1" applyBorder="1" applyAlignment="1">
      <alignment horizontal="left" vertical="top" wrapText="1"/>
    </xf>
    <xf numFmtId="2" fontId="111" fillId="0" borderId="0" xfId="0" applyNumberFormat="1" applyFont="1" applyAlignment="1">
      <alignment horizontal="center" vertical="center" shrinkToFit="1"/>
    </xf>
    <xf numFmtId="2" fontId="111" fillId="0" borderId="78" xfId="0" applyNumberFormat="1" applyFont="1" applyBorder="1" applyAlignment="1">
      <alignment horizontal="center" vertical="center" shrinkToFit="1"/>
    </xf>
    <xf numFmtId="0" fontId="50" fillId="0" borderId="0" xfId="0" applyFont="1" applyAlignment="1">
      <alignment horizontal="center" vertical="center" wrapText="1"/>
    </xf>
    <xf numFmtId="0" fontId="50" fillId="0" borderId="78" xfId="0" applyFont="1" applyBorder="1" applyAlignment="1">
      <alignment horizontal="center" vertical="center" wrapText="1"/>
    </xf>
    <xf numFmtId="0" fontId="50" fillId="0" borderId="79" xfId="0" applyFont="1" applyBorder="1" applyAlignment="1">
      <alignment horizontal="left" vertical="top" wrapText="1"/>
    </xf>
    <xf numFmtId="2" fontId="111" fillId="0" borderId="80" xfId="0" applyNumberFormat="1" applyFont="1" applyBorder="1" applyAlignment="1">
      <alignment horizontal="center" vertical="center" shrinkToFit="1"/>
    </xf>
    <xf numFmtId="0" fontId="50" fillId="0" borderId="80" xfId="0" applyFont="1" applyBorder="1" applyAlignment="1">
      <alignment horizontal="center" vertical="center" wrapText="1"/>
    </xf>
    <xf numFmtId="0" fontId="50" fillId="0" borderId="81" xfId="0" applyFont="1" applyBorder="1" applyAlignment="1">
      <alignment horizontal="center" vertical="center" wrapText="1"/>
    </xf>
    <xf numFmtId="0" fontId="6" fillId="0" borderId="5" xfId="0" applyFont="1" applyBorder="1" applyAlignment="1">
      <alignment horizontal="center"/>
    </xf>
    <xf numFmtId="9" fontId="6" fillId="0" borderId="6" xfId="0" applyNumberFormat="1" applyFont="1" applyBorder="1" applyAlignment="1">
      <alignment horizontal="center"/>
    </xf>
    <xf numFmtId="0" fontId="6" fillId="0" borderId="7" xfId="0" applyFont="1" applyBorder="1" applyAlignment="1">
      <alignment horizontal="center"/>
    </xf>
    <xf numFmtId="9" fontId="6" fillId="0" borderId="8" xfId="0" applyNumberFormat="1" applyFont="1" applyBorder="1" applyAlignment="1">
      <alignment horizontal="center"/>
    </xf>
    <xf numFmtId="0" fontId="112" fillId="21" borderId="93" xfId="0" applyFont="1" applyFill="1" applyBorder="1" applyAlignment="1">
      <alignment vertical="center" wrapText="1"/>
    </xf>
    <xf numFmtId="0" fontId="111" fillId="16" borderId="30" xfId="0" applyFont="1" applyFill="1" applyBorder="1" applyAlignment="1">
      <alignment horizontal="center" vertical="center" wrapText="1"/>
    </xf>
    <xf numFmtId="9" fontId="113" fillId="16" borderId="30" xfId="0" applyNumberFormat="1" applyFont="1" applyFill="1" applyBorder="1" applyAlignment="1">
      <alignment horizontal="center" vertical="center" wrapText="1"/>
    </xf>
    <xf numFmtId="0" fontId="111" fillId="16" borderId="92" xfId="0" applyFont="1" applyFill="1" applyBorder="1" applyAlignment="1">
      <alignment horizontal="center" vertical="center" wrapText="1"/>
    </xf>
    <xf numFmtId="0" fontId="112" fillId="20" borderId="93" xfId="0" applyFont="1" applyFill="1" applyBorder="1" applyAlignment="1">
      <alignment vertical="center" wrapText="1"/>
    </xf>
    <xf numFmtId="0" fontId="111" fillId="6" borderId="30" xfId="0" applyFont="1" applyFill="1" applyBorder="1" applyAlignment="1">
      <alignment horizontal="center" vertical="center" wrapText="1"/>
    </xf>
    <xf numFmtId="9" fontId="113" fillId="6" borderId="30" xfId="0" applyNumberFormat="1" applyFont="1" applyFill="1" applyBorder="1" applyAlignment="1">
      <alignment horizontal="center" vertical="center" wrapText="1"/>
    </xf>
    <xf numFmtId="0" fontId="111" fillId="6" borderId="92" xfId="0" applyFont="1" applyFill="1" applyBorder="1" applyAlignment="1">
      <alignment horizontal="center" vertical="center" wrapText="1"/>
    </xf>
    <xf numFmtId="0" fontId="112" fillId="20" borderId="94" xfId="0" applyFont="1" applyFill="1" applyBorder="1" applyAlignment="1">
      <alignment vertical="center" wrapText="1"/>
    </xf>
    <xf numFmtId="0" fontId="111" fillId="6" borderId="95" xfId="0" applyFont="1" applyFill="1" applyBorder="1" applyAlignment="1">
      <alignment horizontal="center" vertical="center" wrapText="1"/>
    </xf>
    <xf numFmtId="9" fontId="113" fillId="6" borderId="95" xfId="0" applyNumberFormat="1" applyFont="1" applyFill="1" applyBorder="1" applyAlignment="1">
      <alignment horizontal="center" vertical="center" wrapText="1"/>
    </xf>
    <xf numFmtId="0" fontId="111" fillId="6" borderId="96" xfId="0" applyFont="1" applyFill="1" applyBorder="1" applyAlignment="1">
      <alignment horizontal="center" vertical="center" wrapText="1"/>
    </xf>
    <xf numFmtId="168" fontId="72" fillId="0" borderId="0" xfId="2" applyNumberFormat="1" applyFont="1" applyAlignment="1">
      <alignment horizontal="center" vertical="center"/>
    </xf>
    <xf numFmtId="1" fontId="6" fillId="0" borderId="0" xfId="0" quotePrefix="1" applyNumberFormat="1" applyFont="1" applyAlignment="1">
      <alignment horizontal="center" vertical="center"/>
    </xf>
    <xf numFmtId="1" fontId="50" fillId="0" borderId="0" xfId="0" quotePrefix="1" applyNumberFormat="1" applyFont="1" applyAlignment="1">
      <alignment horizontal="center" vertical="center"/>
    </xf>
    <xf numFmtId="8" fontId="70" fillId="0" borderId="0" xfId="0" applyNumberFormat="1" applyFont="1" applyAlignment="1">
      <alignment horizontal="center" vertical="center"/>
    </xf>
    <xf numFmtId="9" fontId="70" fillId="0" borderId="6" xfId="0" applyNumberFormat="1" applyFont="1" applyBorder="1" applyAlignment="1">
      <alignment horizontal="center"/>
    </xf>
    <xf numFmtId="9" fontId="70" fillId="0" borderId="8" xfId="0" applyNumberFormat="1" applyFont="1" applyBorder="1" applyAlignment="1">
      <alignment horizontal="center"/>
    </xf>
    <xf numFmtId="0" fontId="102" fillId="0" borderId="0" xfId="0" applyFont="1" applyAlignment="1">
      <alignment horizontal="center" vertical="center"/>
    </xf>
    <xf numFmtId="1" fontId="50" fillId="0" borderId="6" xfId="0" applyNumberFormat="1" applyFont="1" applyBorder="1" applyAlignment="1">
      <alignment horizontal="left" vertical="center"/>
    </xf>
    <xf numFmtId="0" fontId="13" fillId="0" borderId="9" xfId="2" applyFont="1" applyBorder="1" applyAlignment="1">
      <alignment wrapText="1"/>
    </xf>
    <xf numFmtId="3" fontId="6" fillId="0" borderId="100" xfId="0" applyNumberFormat="1" applyFont="1" applyBorder="1" applyAlignment="1" applyProtection="1">
      <alignment horizontal="center" vertical="center"/>
      <protection locked="0"/>
    </xf>
    <xf numFmtId="3" fontId="6" fillId="0" borderId="56" xfId="0" applyNumberFormat="1" applyFont="1" applyBorder="1" applyAlignment="1" applyProtection="1">
      <alignment horizontal="center" vertical="center"/>
      <protection locked="0"/>
    </xf>
    <xf numFmtId="3" fontId="6" fillId="0" borderId="58" xfId="0" applyNumberFormat="1" applyFont="1" applyBorder="1" applyAlignment="1" applyProtection="1">
      <alignment horizontal="center" vertical="center"/>
      <protection locked="0"/>
    </xf>
    <xf numFmtId="8" fontId="111" fillId="0" borderId="12" xfId="0" applyNumberFormat="1" applyFont="1" applyBorder="1" applyAlignment="1">
      <alignment horizontal="center" vertical="center" wrapText="1"/>
    </xf>
    <xf numFmtId="8" fontId="111" fillId="0" borderId="20" xfId="0" applyNumberFormat="1" applyFont="1" applyBorder="1" applyAlignment="1">
      <alignment horizontal="center" vertical="center" wrapText="1"/>
    </xf>
    <xf numFmtId="0" fontId="13" fillId="0" borderId="0" xfId="2" applyFont="1" applyBorder="1" applyAlignment="1">
      <alignment vertical="center" wrapText="1"/>
    </xf>
    <xf numFmtId="0" fontId="6" fillId="0" borderId="6" xfId="0" applyFont="1" applyBorder="1" applyAlignment="1">
      <alignment wrapText="1"/>
    </xf>
    <xf numFmtId="0" fontId="9" fillId="0" borderId="0" xfId="2" applyFont="1" applyAlignment="1">
      <alignment vertical="center" wrapText="1"/>
    </xf>
    <xf numFmtId="3" fontId="13" fillId="0" borderId="0" xfId="2" applyNumberFormat="1" applyFont="1"/>
    <xf numFmtId="0" fontId="9" fillId="0" borderId="0" xfId="2" applyFont="1" applyAlignment="1">
      <alignment horizontal="center" vertical="center" wrapText="1"/>
    </xf>
    <xf numFmtId="0" fontId="13" fillId="5" borderId="5" xfId="2" applyFont="1" applyFill="1" applyBorder="1" applyAlignment="1">
      <alignment vertical="center" wrapText="1"/>
    </xf>
    <xf numFmtId="0" fontId="6" fillId="5" borderId="6" xfId="0" applyFont="1" applyFill="1" applyBorder="1" applyAlignment="1">
      <alignment horizontal="center" vertical="center"/>
    </xf>
    <xf numFmtId="168" fontId="13" fillId="0" borderId="0" xfId="2" applyNumberFormat="1" applyFont="1" applyAlignment="1">
      <alignment horizontal="left" vertical="center"/>
    </xf>
    <xf numFmtId="1" fontId="70" fillId="0" borderId="18" xfId="0" applyNumberFormat="1" applyFont="1" applyBorder="1" applyAlignment="1">
      <alignment horizontal="center" vertical="center"/>
    </xf>
    <xf numFmtId="168" fontId="114" fillId="0" borderId="12" xfId="0" applyNumberFormat="1" applyFont="1" applyBorder="1" applyAlignment="1">
      <alignment horizontal="center" vertical="center"/>
    </xf>
    <xf numFmtId="168" fontId="70" fillId="0" borderId="81" xfId="0" applyNumberFormat="1" applyFont="1" applyBorder="1" applyAlignment="1">
      <alignment horizontal="center" vertical="center"/>
    </xf>
    <xf numFmtId="1" fontId="49" fillId="0" borderId="0" xfId="2" applyNumberFormat="1" applyFont="1" applyFill="1" applyAlignment="1">
      <alignment horizontal="center" vertical="center"/>
    </xf>
    <xf numFmtId="165" fontId="50" fillId="0" borderId="0" xfId="0" applyNumberFormat="1" applyFont="1" applyAlignment="1">
      <alignment horizontal="center" vertical="top"/>
    </xf>
    <xf numFmtId="168" fontId="50" fillId="0" borderId="0" xfId="0" applyNumberFormat="1" applyFont="1" applyAlignment="1">
      <alignment horizontal="center" vertical="top"/>
    </xf>
    <xf numFmtId="0" fontId="6" fillId="0" borderId="78" xfId="0" applyFont="1" applyBorder="1" applyAlignment="1">
      <alignment horizontal="center" vertical="center"/>
    </xf>
    <xf numFmtId="0" fontId="49" fillId="0" borderId="0" xfId="16" applyFont="1" applyAlignment="1">
      <alignment horizontal="left" wrapText="1"/>
    </xf>
    <xf numFmtId="171" fontId="6" fillId="0" borderId="0" xfId="8" applyNumberFormat="1" applyFont="1" applyFill="1" applyBorder="1" applyAlignment="1">
      <alignment horizontal="right" wrapText="1"/>
    </xf>
    <xf numFmtId="0" fontId="7" fillId="0" borderId="77" xfId="0" applyFont="1" applyBorder="1" applyAlignment="1">
      <alignment horizontal="left"/>
    </xf>
    <xf numFmtId="0" fontId="7" fillId="0" borderId="117" xfId="4" applyFont="1" applyBorder="1" applyAlignment="1">
      <alignment horizontal="left" wrapText="1"/>
    </xf>
    <xf numFmtId="1" fontId="6" fillId="0" borderId="118" xfId="0" applyNumberFormat="1" applyFont="1" applyBorder="1" applyAlignment="1">
      <alignment horizontal="center" vertical="center"/>
    </xf>
    <xf numFmtId="171" fontId="16" fillId="0" borderId="118" xfId="8" applyNumberFormat="1" applyFont="1" applyBorder="1" applyAlignment="1">
      <alignment horizontal="right" wrapText="1"/>
    </xf>
    <xf numFmtId="171" fontId="16" fillId="0" borderId="119" xfId="8" applyNumberFormat="1" applyFont="1" applyBorder="1" applyAlignment="1">
      <alignment horizontal="right" wrapText="1"/>
    </xf>
    <xf numFmtId="1" fontId="102" fillId="0" borderId="0" xfId="0" applyNumberFormat="1" applyFont="1" applyAlignment="1">
      <alignment horizontal="center" vertical="center"/>
    </xf>
    <xf numFmtId="10" fontId="102" fillId="0" borderId="0" xfId="8" applyNumberFormat="1" applyFont="1" applyFill="1" applyBorder="1" applyAlignment="1">
      <alignment horizontal="center" vertical="center" wrapText="1"/>
    </xf>
    <xf numFmtId="2" fontId="102" fillId="0" borderId="78" xfId="0" applyNumberFormat="1" applyFont="1" applyBorder="1" applyAlignment="1">
      <alignment horizontal="center" vertical="center"/>
    </xf>
    <xf numFmtId="2" fontId="114" fillId="0" borderId="78" xfId="0" applyNumberFormat="1" applyFont="1" applyBorder="1" applyAlignment="1">
      <alignment horizontal="center" vertical="center"/>
    </xf>
    <xf numFmtId="1" fontId="102" fillId="0" borderId="118" xfId="0" applyNumberFormat="1" applyFont="1" applyBorder="1" applyAlignment="1">
      <alignment horizontal="center" vertical="center"/>
    </xf>
    <xf numFmtId="0" fontId="49" fillId="17" borderId="77" xfId="0" applyFont="1" applyFill="1" applyBorder="1" applyAlignment="1">
      <alignment horizontal="center" vertical="center" wrapText="1"/>
    </xf>
    <xf numFmtId="0" fontId="49" fillId="17" borderId="0" xfId="0" applyFont="1" applyFill="1" applyAlignment="1">
      <alignment horizontal="center" vertical="center" wrapText="1"/>
    </xf>
    <xf numFmtId="0" fontId="49" fillId="17" borderId="78" xfId="0" applyFont="1" applyFill="1" applyBorder="1" applyAlignment="1">
      <alignment horizontal="center" vertical="center" wrapText="1"/>
    </xf>
    <xf numFmtId="0" fontId="7" fillId="17" borderId="77" xfId="4" applyFont="1" applyFill="1" applyBorder="1" applyAlignment="1">
      <alignment horizontal="center" vertical="center" wrapText="1"/>
    </xf>
    <xf numFmtId="3" fontId="7" fillId="17" borderId="0" xfId="6" applyNumberFormat="1" applyFont="1" applyFill="1" applyBorder="1" applyAlignment="1">
      <alignment horizontal="center" vertical="center" wrapText="1"/>
    </xf>
    <xf numFmtId="1" fontId="7" fillId="17" borderId="0" xfId="0" applyNumberFormat="1" applyFont="1" applyFill="1" applyAlignment="1">
      <alignment horizontal="center" vertical="center"/>
    </xf>
    <xf numFmtId="1" fontId="7" fillId="17" borderId="78" xfId="0" applyNumberFormat="1" applyFont="1" applyFill="1" applyBorder="1" applyAlignment="1">
      <alignment horizontal="center" vertical="center"/>
    </xf>
    <xf numFmtId="0" fontId="7" fillId="17" borderId="17" xfId="0" applyFont="1" applyFill="1" applyBorder="1"/>
    <xf numFmtId="0" fontId="49" fillId="17" borderId="12" xfId="0" applyFont="1" applyFill="1" applyBorder="1" applyAlignment="1">
      <alignment horizontal="center" vertical="center"/>
    </xf>
    <xf numFmtId="0" fontId="7" fillId="17" borderId="18" xfId="0" applyFont="1" applyFill="1" applyBorder="1" applyAlignment="1">
      <alignment horizontal="center" vertical="center"/>
    </xf>
    <xf numFmtId="0" fontId="7" fillId="17" borderId="77" xfId="0" applyFont="1" applyFill="1" applyBorder="1" applyAlignment="1">
      <alignment horizontal="center" vertical="center"/>
    </xf>
    <xf numFmtId="0" fontId="7" fillId="17" borderId="0" xfId="0" applyFont="1" applyFill="1" applyAlignment="1">
      <alignment horizontal="center" vertical="center" wrapText="1"/>
    </xf>
    <xf numFmtId="0" fontId="7" fillId="17" borderId="78" xfId="0" applyFont="1" applyFill="1" applyBorder="1" applyAlignment="1">
      <alignment horizontal="center" vertical="center" wrapText="1"/>
    </xf>
    <xf numFmtId="0" fontId="49" fillId="17" borderId="77" xfId="0" applyFont="1" applyFill="1" applyBorder="1" applyAlignment="1">
      <alignment horizontal="center" vertical="center"/>
    </xf>
    <xf numFmtId="0" fontId="49" fillId="17" borderId="0" xfId="0" applyFont="1" applyFill="1" applyAlignment="1">
      <alignment horizontal="center" vertical="center"/>
    </xf>
    <xf numFmtId="0" fontId="49" fillId="17" borderId="78" xfId="0" applyFont="1" applyFill="1" applyBorder="1" applyAlignment="1">
      <alignment horizontal="center" vertical="center"/>
    </xf>
    <xf numFmtId="0" fontId="49" fillId="17" borderId="12" xfId="0" applyFont="1" applyFill="1" applyBorder="1" applyAlignment="1">
      <alignment horizontal="center"/>
    </xf>
    <xf numFmtId="0" fontId="49" fillId="17" borderId="18" xfId="0" applyFont="1" applyFill="1" applyBorder="1" applyAlignment="1">
      <alignment horizontal="center" vertical="center"/>
    </xf>
    <xf numFmtId="0" fontId="118" fillId="0" borderId="0" xfId="0" applyFont="1" applyAlignment="1">
      <alignment horizontal="left" vertical="center"/>
    </xf>
    <xf numFmtId="0" fontId="118" fillId="0" borderId="0" xfId="0" applyFont="1"/>
    <xf numFmtId="0" fontId="119" fillId="0" borderId="0" xfId="0" applyFont="1" applyAlignment="1">
      <alignment horizontal="left" vertical="center"/>
    </xf>
    <xf numFmtId="0" fontId="119" fillId="0" borderId="0" xfId="0" applyFont="1"/>
    <xf numFmtId="0" fontId="13" fillId="0" borderId="0" xfId="2" applyFont="1" applyFill="1" applyAlignment="1">
      <alignment horizontal="center" vertical="center"/>
    </xf>
    <xf numFmtId="0" fontId="7" fillId="0" borderId="79" xfId="0" applyFont="1" applyBorder="1"/>
    <xf numFmtId="168" fontId="7" fillId="0" borderId="5" xfId="0" applyNumberFormat="1" applyFont="1" applyBorder="1" applyAlignment="1">
      <alignment horizontal="center"/>
    </xf>
    <xf numFmtId="168" fontId="7" fillId="0" borderId="4" xfId="0" applyNumberFormat="1" applyFont="1" applyBorder="1" applyAlignment="1">
      <alignment horizontal="center"/>
    </xf>
    <xf numFmtId="168" fontId="7" fillId="0" borderId="11" xfId="0" applyNumberFormat="1" applyFont="1" applyBorder="1" applyAlignment="1">
      <alignment horizontal="center" vertical="center"/>
    </xf>
    <xf numFmtId="0" fontId="7" fillId="0" borderId="79" xfId="0" applyFont="1" applyBorder="1" applyAlignment="1">
      <alignment horizontal="center" vertical="center"/>
    </xf>
    <xf numFmtId="0" fontId="7" fillId="0" borderId="19" xfId="0" applyFont="1" applyBorder="1" applyAlignment="1">
      <alignment vertical="center" wrapText="1"/>
    </xf>
    <xf numFmtId="0" fontId="7" fillId="0" borderId="17" xfId="0" applyFont="1" applyBorder="1" applyAlignment="1">
      <alignment vertical="center" wrapText="1"/>
    </xf>
    <xf numFmtId="0" fontId="120" fillId="0" borderId="19" xfId="2" applyFont="1" applyBorder="1" applyAlignment="1">
      <alignment vertical="center" wrapText="1"/>
    </xf>
    <xf numFmtId="0" fontId="7" fillId="0" borderId="80" xfId="0" applyFont="1" applyBorder="1"/>
    <xf numFmtId="0" fontId="7" fillId="0" borderId="5" xfId="0" applyFont="1" applyBorder="1"/>
    <xf numFmtId="0" fontId="7" fillId="0" borderId="7" xfId="0" applyFont="1" applyBorder="1"/>
    <xf numFmtId="0" fontId="7" fillId="0" borderId="1" xfId="0" applyFont="1" applyBorder="1" applyAlignment="1">
      <alignment vertical="center"/>
    </xf>
    <xf numFmtId="0" fontId="7" fillId="0" borderId="4" xfId="0" applyFont="1" applyBorder="1" applyAlignment="1">
      <alignment vertical="center"/>
    </xf>
    <xf numFmtId="0" fontId="7" fillId="0" borderId="57" xfId="0" applyFont="1" applyBorder="1" applyAlignment="1">
      <alignment vertical="center"/>
    </xf>
    <xf numFmtId="0" fontId="7" fillId="0" borderId="17" xfId="0" applyFont="1" applyBorder="1" applyAlignment="1">
      <alignment horizontal="left" vertical="center"/>
    </xf>
    <xf numFmtId="0" fontId="7" fillId="0" borderId="19" xfId="0" applyFont="1" applyBorder="1" applyAlignment="1">
      <alignment horizontal="left" vertical="center"/>
    </xf>
    <xf numFmtId="0" fontId="7" fillId="0" borderId="77" xfId="5" applyFont="1" applyBorder="1" applyAlignment="1">
      <alignment horizontal="left" wrapText="1"/>
    </xf>
    <xf numFmtId="0" fontId="7" fillId="5" borderId="7" xfId="0" applyFont="1" applyFill="1" applyBorder="1" applyAlignment="1">
      <alignment horizontal="center" vertical="center"/>
    </xf>
    <xf numFmtId="168" fontId="72" fillId="5" borderId="8" xfId="0" applyNumberFormat="1" applyFont="1" applyFill="1" applyBorder="1" applyAlignment="1">
      <alignment horizontal="center" vertical="center"/>
    </xf>
    <xf numFmtId="0" fontId="49" fillId="0" borderId="5" xfId="0" applyFont="1" applyBorder="1" applyAlignment="1">
      <alignment vertical="center"/>
    </xf>
    <xf numFmtId="0" fontId="50" fillId="0" borderId="3" xfId="0" applyFont="1" applyBorder="1" applyAlignment="1">
      <alignment horizontal="center" vertical="center" wrapText="1"/>
    </xf>
    <xf numFmtId="168" fontId="72" fillId="0" borderId="12" xfId="0" applyNumberFormat="1" applyFont="1" applyBorder="1" applyAlignment="1">
      <alignment horizontal="center"/>
    </xf>
    <xf numFmtId="0" fontId="6" fillId="0" borderId="18" xfId="0" applyFont="1" applyBorder="1" applyAlignment="1">
      <alignment horizontal="center"/>
    </xf>
    <xf numFmtId="0" fontId="50" fillId="0" borderId="6" xfId="0" applyFont="1" applyBorder="1" applyAlignment="1">
      <alignment horizontal="center" vertical="center" wrapText="1"/>
    </xf>
    <xf numFmtId="0" fontId="50" fillId="0" borderId="116" xfId="0" applyFont="1" applyBorder="1" applyAlignment="1">
      <alignment horizontal="center" vertical="center" wrapText="1"/>
    </xf>
    <xf numFmtId="168" fontId="72" fillId="0" borderId="20" xfId="0" applyNumberFormat="1" applyFont="1" applyBorder="1" applyAlignment="1">
      <alignment horizontal="center"/>
    </xf>
    <xf numFmtId="0" fontId="6" fillId="0" borderId="21" xfId="0" applyFont="1" applyBorder="1" applyAlignment="1">
      <alignment horizontal="center"/>
    </xf>
    <xf numFmtId="0" fontId="13" fillId="0" borderId="0" xfId="2" applyFont="1" applyAlignment="1">
      <alignment vertical="center" wrapText="1"/>
    </xf>
    <xf numFmtId="0" fontId="7" fillId="4" borderId="0" xfId="0" applyFont="1" applyFill="1"/>
    <xf numFmtId="0" fontId="7" fillId="0" borderId="11" xfId="0" applyFont="1" applyBorder="1"/>
    <xf numFmtId="0" fontId="4" fillId="0" borderId="12"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2" xfId="0" applyFont="1" applyBorder="1" applyAlignment="1">
      <alignment horizontal="left" vertical="center"/>
    </xf>
    <xf numFmtId="10" fontId="70" fillId="0" borderId="12" xfId="0" applyNumberFormat="1" applyFont="1" applyBorder="1" applyAlignment="1">
      <alignment horizontal="center" vertical="center"/>
    </xf>
    <xf numFmtId="0" fontId="4" fillId="0" borderId="17" xfId="0" applyFont="1" applyBorder="1" applyAlignment="1">
      <alignment horizontal="center" vertical="center"/>
    </xf>
    <xf numFmtId="9" fontId="6" fillId="0" borderId="0" xfId="0" applyNumberFormat="1" applyFont="1" applyAlignment="1">
      <alignment horizontal="center" vertical="center" wrapText="1"/>
    </xf>
    <xf numFmtId="9" fontId="72" fillId="0" borderId="80" xfId="0" applyNumberFormat="1" applyFont="1" applyBorder="1" applyAlignment="1">
      <alignment horizontal="center" vertical="center"/>
    </xf>
    <xf numFmtId="0" fontId="7" fillId="22" borderId="12" xfId="0" applyFont="1" applyFill="1" applyBorder="1" applyAlignment="1">
      <alignment horizontal="center" vertical="center" wrapText="1"/>
    </xf>
    <xf numFmtId="0" fontId="6" fillId="0" borderId="12" xfId="0" applyFont="1" applyBorder="1" applyAlignment="1">
      <alignment horizontal="left" vertical="top"/>
    </xf>
    <xf numFmtId="0" fontId="13" fillId="0" borderId="12" xfId="2" applyFont="1" applyFill="1" applyBorder="1" applyAlignment="1">
      <alignment horizontal="center" vertical="center"/>
    </xf>
    <xf numFmtId="0" fontId="7" fillId="0" borderId="12" xfId="0" applyFont="1" applyBorder="1" applyAlignment="1">
      <alignment horizontal="center" vertical="center"/>
    </xf>
    <xf numFmtId="10" fontId="70" fillId="0" borderId="12" xfId="0" applyNumberFormat="1" applyFont="1" applyBorder="1" applyAlignment="1">
      <alignment horizontal="center" vertical="top"/>
    </xf>
    <xf numFmtId="9" fontId="70" fillId="0" borderId="12" xfId="0" applyNumberFormat="1" applyFont="1" applyBorder="1" applyAlignment="1">
      <alignment horizontal="center" vertical="center"/>
    </xf>
    <xf numFmtId="0" fontId="7" fillId="22" borderId="17" xfId="0" applyFont="1" applyFill="1" applyBorder="1" applyAlignment="1">
      <alignment horizontal="center" vertical="center"/>
    </xf>
    <xf numFmtId="0" fontId="7" fillId="22" borderId="18" xfId="0" applyFont="1" applyFill="1" applyBorder="1" applyAlignment="1">
      <alignment horizontal="center" vertical="center" wrapText="1"/>
    </xf>
    <xf numFmtId="0" fontId="13" fillId="0" borderId="18" xfId="2" applyFont="1" applyFill="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9" fontId="72" fillId="0" borderId="20" xfId="0" applyNumberFormat="1" applyFont="1" applyBorder="1" applyAlignment="1">
      <alignment horizontal="center" vertical="center"/>
    </xf>
    <xf numFmtId="3" fontId="7" fillId="0" borderId="12" xfId="6" applyNumberFormat="1" applyFont="1" applyBorder="1" applyAlignment="1">
      <alignment horizontal="center" vertical="center" wrapText="1"/>
    </xf>
    <xf numFmtId="2" fontId="7" fillId="0" borderId="12" xfId="4" applyNumberFormat="1" applyFont="1" applyBorder="1" applyAlignment="1">
      <alignment horizontal="left" vertical="top" wrapText="1"/>
    </xf>
    <xf numFmtId="2" fontId="61" fillId="0" borderId="12" xfId="4" applyNumberFormat="1" applyFont="1" applyBorder="1" applyAlignment="1">
      <alignment horizontal="left" vertical="top" wrapText="1"/>
    </xf>
    <xf numFmtId="2" fontId="6" fillId="0" borderId="12" xfId="5" applyNumberFormat="1" applyFont="1" applyBorder="1" applyAlignment="1">
      <alignment horizontal="center" vertical="center" wrapText="1"/>
    </xf>
    <xf numFmtId="2" fontId="72" fillId="0" borderId="12" xfId="0" applyNumberFormat="1" applyFont="1" applyBorder="1" applyAlignment="1">
      <alignment horizontal="center" vertical="top"/>
    </xf>
    <xf numFmtId="3" fontId="7" fillId="0" borderId="17" xfId="6" applyNumberFormat="1" applyFont="1" applyBorder="1" applyAlignment="1">
      <alignment horizontal="center" vertical="center" wrapText="1"/>
    </xf>
    <xf numFmtId="3" fontId="7" fillId="0" borderId="18" xfId="6" applyNumberFormat="1" applyFont="1" applyBorder="1" applyAlignment="1">
      <alignment horizontal="center" vertical="center" wrapText="1"/>
    </xf>
    <xf numFmtId="0" fontId="13" fillId="0" borderId="17" xfId="2" applyFont="1" applyBorder="1" applyAlignment="1">
      <alignment horizontal="left" vertical="top" wrapText="1"/>
    </xf>
    <xf numFmtId="0" fontId="6" fillId="0" borderId="18" xfId="0" applyFont="1" applyBorder="1" applyAlignment="1">
      <alignment horizontal="left" vertical="top"/>
    </xf>
    <xf numFmtId="0" fontId="6" fillId="0" borderId="17" xfId="5" applyFont="1" applyBorder="1" applyAlignment="1">
      <alignment horizontal="left" vertical="center" wrapText="1"/>
    </xf>
    <xf numFmtId="2" fontId="6" fillId="0" borderId="18" xfId="5" applyNumberFormat="1" applyFont="1" applyBorder="1" applyAlignment="1">
      <alignment horizontal="center" vertical="center" wrapText="1"/>
    </xf>
    <xf numFmtId="10" fontId="6" fillId="0" borderId="17" xfId="0" applyNumberFormat="1" applyFont="1" applyBorder="1" applyAlignment="1">
      <alignment horizontal="left" vertical="top"/>
    </xf>
    <xf numFmtId="2" fontId="72" fillId="0" borderId="18" xfId="0" applyNumberFormat="1" applyFont="1" applyBorder="1" applyAlignment="1">
      <alignment horizontal="center" vertical="top"/>
    </xf>
    <xf numFmtId="10" fontId="70" fillId="0" borderId="18" xfId="0" applyNumberFormat="1" applyFont="1" applyBorder="1" applyAlignment="1">
      <alignment horizontal="center" vertical="top"/>
    </xf>
    <xf numFmtId="10" fontId="6" fillId="0" borderId="19" xfId="0" applyNumberFormat="1" applyFont="1" applyBorder="1" applyAlignment="1">
      <alignment horizontal="left" vertical="top"/>
    </xf>
    <xf numFmtId="10" fontId="70" fillId="0" borderId="20" xfId="0" applyNumberFormat="1" applyFont="1" applyBorder="1" applyAlignment="1">
      <alignment horizontal="center" vertical="top"/>
    </xf>
    <xf numFmtId="10" fontId="70" fillId="0" borderId="21" xfId="0" applyNumberFormat="1" applyFont="1" applyBorder="1" applyAlignment="1">
      <alignment horizontal="center" vertical="top"/>
    </xf>
    <xf numFmtId="172" fontId="6" fillId="0" borderId="0" xfId="0" applyNumberFormat="1" applyFont="1" applyAlignment="1">
      <alignment horizontal="left" vertical="top"/>
    </xf>
    <xf numFmtId="9" fontId="70" fillId="0" borderId="81" xfId="0" applyNumberFormat="1" applyFont="1" applyBorder="1" applyAlignment="1">
      <alignment horizontal="center" vertical="center"/>
    </xf>
    <xf numFmtId="9" fontId="70" fillId="0" borderId="78" xfId="0" applyNumberFormat="1" applyFont="1" applyBorder="1" applyAlignment="1">
      <alignment horizontal="center" vertical="center"/>
    </xf>
    <xf numFmtId="9" fontId="7" fillId="0" borderId="0" xfId="0" applyNumberFormat="1" applyFont="1" applyAlignment="1">
      <alignment horizontal="center" vertical="center" wrapText="1"/>
    </xf>
    <xf numFmtId="9" fontId="72" fillId="0" borderId="78" xfId="0" applyNumberFormat="1" applyFont="1" applyBorder="1" applyAlignment="1">
      <alignment horizontal="center" vertical="center"/>
    </xf>
    <xf numFmtId="9" fontId="6" fillId="0" borderId="78" xfId="0" quotePrefix="1" applyNumberFormat="1" applyFont="1" applyBorder="1" applyAlignment="1">
      <alignment horizontal="center" vertical="center"/>
    </xf>
    <xf numFmtId="0" fontId="7" fillId="0" borderId="79" xfId="0" applyFont="1" applyBorder="1" applyAlignment="1">
      <alignment horizontal="center" vertical="center" wrapText="1"/>
    </xf>
    <xf numFmtId="9" fontId="6" fillId="0" borderId="12" xfId="0" applyNumberFormat="1" applyFont="1" applyBorder="1" applyAlignment="1">
      <alignment horizontal="center" vertical="center"/>
    </xf>
    <xf numFmtId="3" fontId="6" fillId="0" borderId="12" xfId="0" applyNumberFormat="1" applyFont="1" applyBorder="1" applyAlignment="1" applyProtection="1">
      <alignment horizontal="center" vertical="center"/>
      <protection locked="0"/>
    </xf>
    <xf numFmtId="9" fontId="6" fillId="0" borderId="12" xfId="0" applyNumberFormat="1" applyFont="1" applyBorder="1" applyAlignment="1" applyProtection="1">
      <alignment horizontal="center" vertical="center"/>
      <protection locked="0"/>
    </xf>
    <xf numFmtId="9" fontId="102" fillId="0" borderId="12" xfId="0" applyNumberFormat="1" applyFont="1" applyBorder="1" applyAlignment="1">
      <alignment horizontal="center" vertical="center"/>
    </xf>
    <xf numFmtId="0" fontId="6" fillId="0" borderId="17" xfId="0" applyFont="1" applyBorder="1" applyAlignment="1">
      <alignment horizontal="left" vertical="center"/>
    </xf>
    <xf numFmtId="9" fontId="102" fillId="0" borderId="18" xfId="0" applyNumberFormat="1" applyFont="1" applyBorder="1" applyAlignment="1">
      <alignment horizontal="center" vertical="center"/>
    </xf>
    <xf numFmtId="0" fontId="6" fillId="0" borderId="19" xfId="0" applyFont="1" applyBorder="1" applyAlignment="1">
      <alignment horizontal="left" vertical="center"/>
    </xf>
    <xf numFmtId="9" fontId="6" fillId="0" borderId="20" xfId="0" applyNumberFormat="1" applyFont="1" applyBorder="1" applyAlignment="1">
      <alignment horizontal="center" vertical="center"/>
    </xf>
    <xf numFmtId="0" fontId="6" fillId="0" borderId="20" xfId="0" applyFont="1" applyBorder="1" applyAlignment="1">
      <alignment horizontal="left" vertical="center"/>
    </xf>
    <xf numFmtId="3" fontId="70" fillId="0" borderId="20" xfId="0" applyNumberFormat="1" applyFont="1" applyBorder="1" applyAlignment="1">
      <alignment horizontal="center" vertical="center"/>
    </xf>
    <xf numFmtId="3" fontId="70" fillId="0" borderId="21" xfId="0" applyNumberFormat="1" applyFont="1" applyBorder="1" applyAlignment="1">
      <alignment horizontal="center" vertical="center"/>
    </xf>
    <xf numFmtId="0" fontId="7" fillId="0" borderId="19" xfId="0" applyFont="1" applyBorder="1" applyAlignment="1">
      <alignment horizontal="left" vertical="top" wrapText="1"/>
    </xf>
    <xf numFmtId="9" fontId="114" fillId="0" borderId="20" xfId="0" applyNumberFormat="1" applyFont="1" applyBorder="1" applyAlignment="1">
      <alignment horizontal="center" vertical="center" wrapText="1"/>
    </xf>
    <xf numFmtId="9" fontId="114" fillId="0" borderId="20" xfId="0" applyNumberFormat="1" applyFont="1" applyBorder="1" applyAlignment="1">
      <alignment horizontal="center" vertical="center"/>
    </xf>
    <xf numFmtId="9" fontId="114" fillId="0" borderId="21" xfId="0" applyNumberFormat="1" applyFont="1" applyBorder="1" applyAlignment="1">
      <alignment horizontal="center" vertical="center"/>
    </xf>
    <xf numFmtId="0" fontId="6" fillId="0" borderId="77" xfId="0" applyFont="1" applyBorder="1" applyAlignment="1">
      <alignment horizontal="left" vertical="top"/>
    </xf>
    <xf numFmtId="0" fontId="7" fillId="0" borderId="78" xfId="0" applyFont="1" applyBorder="1" applyAlignment="1">
      <alignment horizontal="center" vertical="center" wrapText="1"/>
    </xf>
    <xf numFmtId="0" fontId="6" fillId="0" borderId="77" xfId="0" applyFont="1" applyBorder="1" applyAlignment="1">
      <alignment vertical="top" wrapText="1"/>
    </xf>
    <xf numFmtId="9" fontId="6" fillId="0" borderId="0" xfId="0" applyNumberFormat="1" applyFont="1" applyAlignment="1">
      <alignment horizontal="center" vertical="top" wrapText="1"/>
    </xf>
    <xf numFmtId="9" fontId="6" fillId="0" borderId="0" xfId="0" applyNumberFormat="1" applyFont="1" applyAlignment="1">
      <alignment horizontal="center" vertical="top"/>
    </xf>
    <xf numFmtId="9" fontId="102" fillId="0" borderId="78" xfId="0" applyNumberFormat="1" applyFont="1" applyBorder="1" applyAlignment="1">
      <alignment horizontal="center" vertical="center" wrapText="1"/>
    </xf>
    <xf numFmtId="3" fontId="6" fillId="0" borderId="79" xfId="0" applyNumberFormat="1" applyFont="1" applyBorder="1" applyAlignment="1">
      <alignment horizontal="left" vertical="top"/>
    </xf>
    <xf numFmtId="9" fontId="6" fillId="0" borderId="80" xfId="0" applyNumberFormat="1" applyFont="1" applyBorder="1" applyAlignment="1">
      <alignment horizontal="center" vertical="top"/>
    </xf>
    <xf numFmtId="9" fontId="102" fillId="0" borderId="81" xfId="0" applyNumberFormat="1" applyFont="1" applyBorder="1" applyAlignment="1">
      <alignment horizontal="center" vertical="center"/>
    </xf>
    <xf numFmtId="0" fontId="6" fillId="0" borderId="17" xfId="0" applyFont="1" applyBorder="1" applyAlignment="1">
      <alignment horizontal="left" vertical="top"/>
    </xf>
    <xf numFmtId="0" fontId="18" fillId="0" borderId="0" xfId="0" applyFont="1" applyAlignment="1">
      <alignment vertical="center"/>
    </xf>
    <xf numFmtId="0" fontId="43" fillId="0" borderId="0" xfId="2" applyFont="1" applyFill="1"/>
    <xf numFmtId="10" fontId="7" fillId="0" borderId="19" xfId="0" applyNumberFormat="1" applyFont="1" applyBorder="1" applyAlignment="1">
      <alignment horizontal="left" vertical="center"/>
    </xf>
    <xf numFmtId="10" fontId="102" fillId="0" borderId="12" xfId="2" quotePrefix="1" applyNumberFormat="1" applyFont="1" applyBorder="1" applyAlignment="1">
      <alignment horizontal="center" vertical="center"/>
    </xf>
    <xf numFmtId="10" fontId="102" fillId="0" borderId="18" xfId="2" quotePrefix="1" applyNumberFormat="1" applyFont="1" applyBorder="1" applyAlignment="1">
      <alignment horizontal="center" vertical="center"/>
    </xf>
    <xf numFmtId="10" fontId="72" fillId="0" borderId="20" xfId="0" applyNumberFormat="1" applyFont="1" applyBorder="1" applyAlignment="1">
      <alignment horizontal="center" vertical="center"/>
    </xf>
    <xf numFmtId="165" fontId="70" fillId="0" borderId="18" xfId="0" applyNumberFormat="1" applyFont="1" applyBorder="1" applyAlignment="1">
      <alignment horizontal="center" vertical="center"/>
    </xf>
    <xf numFmtId="165" fontId="70" fillId="0" borderId="20" xfId="0" applyNumberFormat="1" applyFont="1" applyBorder="1" applyAlignment="1">
      <alignment horizontal="center" vertical="center"/>
    </xf>
    <xf numFmtId="165" fontId="70" fillId="0" borderId="21" xfId="0" applyNumberFormat="1" applyFont="1" applyBorder="1" applyAlignment="1">
      <alignment horizontal="center" vertical="center"/>
    </xf>
    <xf numFmtId="0" fontId="7" fillId="0" borderId="77" xfId="0" applyFont="1" applyBorder="1" applyAlignment="1">
      <alignment vertical="center"/>
    </xf>
    <xf numFmtId="165" fontId="70" fillId="0" borderId="78" xfId="0" applyNumberFormat="1" applyFont="1" applyBorder="1" applyAlignment="1">
      <alignment vertical="center"/>
    </xf>
    <xf numFmtId="165" fontId="72" fillId="0" borderId="81" xfId="0" applyNumberFormat="1" applyFont="1" applyBorder="1" applyAlignment="1">
      <alignment vertical="center"/>
    </xf>
    <xf numFmtId="0" fontId="9" fillId="5" borderId="5" xfId="2" applyFont="1" applyFill="1" applyBorder="1" applyAlignment="1">
      <alignment wrapText="1"/>
    </xf>
    <xf numFmtId="0" fontId="6" fillId="5" borderId="6" xfId="0" applyFont="1" applyFill="1" applyBorder="1" applyAlignment="1">
      <alignment horizontal="center"/>
    </xf>
    <xf numFmtId="168" fontId="70" fillId="5" borderId="8" xfId="0" applyNumberFormat="1" applyFont="1" applyFill="1" applyBorder="1" applyAlignment="1">
      <alignment horizontal="center"/>
    </xf>
    <xf numFmtId="0" fontId="7" fillId="0" borderId="12" xfId="0" applyFont="1" applyBorder="1" applyAlignment="1">
      <alignment vertical="center"/>
    </xf>
    <xf numFmtId="168" fontId="70" fillId="5" borderId="12" xfId="0" applyNumberFormat="1" applyFont="1" applyFill="1" applyBorder="1" applyAlignment="1">
      <alignment horizontal="center" vertical="center"/>
    </xf>
    <xf numFmtId="0" fontId="81" fillId="0" borderId="18" xfId="0" applyFont="1" applyBorder="1" applyAlignment="1">
      <alignment horizontal="center" vertical="center"/>
    </xf>
    <xf numFmtId="168" fontId="81" fillId="0" borderId="18" xfId="0" applyNumberFormat="1" applyFont="1" applyBorder="1" applyAlignment="1">
      <alignment horizontal="center" vertical="center"/>
    </xf>
    <xf numFmtId="0" fontId="6" fillId="17" borderId="17" xfId="0" applyFont="1" applyFill="1" applyBorder="1" applyAlignment="1">
      <alignment horizontal="center" vertical="center"/>
    </xf>
    <xf numFmtId="0" fontId="49" fillId="17" borderId="12" xfId="0" applyFont="1" applyFill="1" applyBorder="1" applyAlignment="1">
      <alignment horizontal="center" vertical="center" wrapText="1"/>
    </xf>
    <xf numFmtId="0" fontId="76" fillId="0" borderId="0" xfId="0" applyFont="1" applyAlignment="1">
      <alignment horizontal="center" vertical="center"/>
    </xf>
    <xf numFmtId="0" fontId="37" fillId="0" borderId="0" xfId="0" applyFont="1" applyAlignment="1">
      <alignment vertical="center"/>
    </xf>
    <xf numFmtId="0" fontId="50" fillId="0" borderId="0" xfId="2" applyNumberFormat="1" applyFont="1"/>
    <xf numFmtId="0" fontId="123" fillId="5" borderId="0" xfId="0" applyFont="1" applyFill="1"/>
    <xf numFmtId="0" fontId="28" fillId="0" borderId="39" xfId="0" applyFont="1" applyBorder="1" applyAlignment="1">
      <alignment vertical="center"/>
    </xf>
    <xf numFmtId="0" fontId="125" fillId="0" borderId="39" xfId="0" applyFont="1" applyBorder="1"/>
    <xf numFmtId="0" fontId="28" fillId="0" borderId="12" xfId="0" applyFont="1" applyBorder="1" applyAlignment="1">
      <alignment vertical="center"/>
    </xf>
    <xf numFmtId="0" fontId="30" fillId="0" borderId="0" xfId="0" applyFont="1" applyAlignment="1">
      <alignment horizontal="center" vertical="center"/>
    </xf>
    <xf numFmtId="0" fontId="23" fillId="0" borderId="42" xfId="0" applyFont="1" applyBorder="1" applyAlignment="1">
      <alignment horizontal="center" vertical="center"/>
    </xf>
    <xf numFmtId="0" fontId="126" fillId="0" borderId="42" xfId="0" applyFont="1" applyBorder="1"/>
    <xf numFmtId="0" fontId="23" fillId="9" borderId="12" xfId="0" applyFont="1" applyFill="1" applyBorder="1" applyAlignment="1">
      <alignment horizontal="left" vertical="top" wrapText="1"/>
    </xf>
    <xf numFmtId="0" fontId="122" fillId="0" borderId="0" xfId="0" applyFont="1" applyAlignment="1">
      <alignment horizontal="left" wrapText="1"/>
    </xf>
    <xf numFmtId="0" fontId="23" fillId="0" borderId="50" xfId="0" applyFont="1" applyBorder="1" applyAlignment="1">
      <alignment horizontal="center" vertical="center" wrapText="1"/>
    </xf>
    <xf numFmtId="0" fontId="23" fillId="0" borderId="51"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77" xfId="0" applyFont="1" applyBorder="1" applyAlignment="1">
      <alignment horizontal="center" vertical="center" wrapText="1"/>
    </xf>
    <xf numFmtId="0" fontId="23" fillId="0" borderId="0" xfId="0" applyFont="1" applyAlignment="1">
      <alignment horizontal="center" vertical="center" wrapText="1"/>
    </xf>
    <xf numFmtId="0" fontId="23" fillId="0" borderId="78" xfId="0" applyFont="1" applyBorder="1" applyAlignment="1">
      <alignment horizontal="center" vertical="center" wrapText="1"/>
    </xf>
    <xf numFmtId="0" fontId="17" fillId="10" borderId="46" xfId="0" applyFont="1" applyFill="1" applyBorder="1" applyAlignment="1">
      <alignment horizontal="center" vertical="top" wrapText="1"/>
    </xf>
    <xf numFmtId="0" fontId="17" fillId="10" borderId="11" xfId="0" applyFont="1" applyFill="1" applyBorder="1" applyAlignment="1">
      <alignment horizontal="center" vertical="top" wrapText="1"/>
    </xf>
    <xf numFmtId="0" fontId="17" fillId="10" borderId="110" xfId="0" applyFont="1" applyFill="1" applyBorder="1" applyAlignment="1">
      <alignment horizontal="center" vertical="top" wrapText="1"/>
    </xf>
    <xf numFmtId="0" fontId="6" fillId="0" borderId="0" xfId="0" applyFont="1" applyAlignment="1">
      <alignment horizontal="left" vertical="center" wrapText="1"/>
    </xf>
    <xf numFmtId="0" fontId="7" fillId="0" borderId="0" xfId="0" applyFont="1" applyAlignment="1">
      <alignment horizontal="center"/>
    </xf>
    <xf numFmtId="0" fontId="6" fillId="0" borderId="0" xfId="0" applyFont="1" applyAlignment="1">
      <alignment horizontal="left" wrapText="1"/>
    </xf>
    <xf numFmtId="0" fontId="6" fillId="0" borderId="0" xfId="0" quotePrefix="1" applyFont="1" applyAlignment="1">
      <alignment horizontal="center" wrapText="1"/>
    </xf>
    <xf numFmtId="0" fontId="7" fillId="0" borderId="0" xfId="0" applyFont="1" applyAlignment="1">
      <alignment horizontal="center" vertical="center"/>
    </xf>
    <xf numFmtId="0" fontId="6" fillId="0" borderId="0" xfId="0" applyFont="1" applyAlignment="1">
      <alignment horizontal="center" wrapText="1"/>
    </xf>
    <xf numFmtId="0" fontId="7" fillId="0" borderId="0" xfId="0" applyFont="1" applyAlignment="1">
      <alignment horizontal="left" vertical="center"/>
    </xf>
    <xf numFmtId="0" fontId="4" fillId="0" borderId="62" xfId="0" applyFont="1" applyBorder="1" applyAlignment="1">
      <alignment horizontal="center"/>
    </xf>
    <xf numFmtId="0" fontId="100" fillId="0" borderId="125" xfId="0" applyFont="1" applyBorder="1" applyAlignment="1">
      <alignment horizontal="left" vertical="center" wrapText="1"/>
    </xf>
    <xf numFmtId="0" fontId="6" fillId="0" borderId="125" xfId="0" applyFont="1" applyBorder="1" applyAlignment="1">
      <alignment horizontal="left" vertical="center" wrapText="1"/>
    </xf>
    <xf numFmtId="0" fontId="100" fillId="0" borderId="0" xfId="0" applyFont="1" applyAlignment="1">
      <alignment horizontal="center" vertical="center"/>
    </xf>
    <xf numFmtId="0" fontId="23" fillId="17" borderId="74" xfId="0" applyFont="1" applyFill="1" applyBorder="1" applyAlignment="1">
      <alignment horizontal="center" vertical="center" textRotation="90" wrapText="1"/>
    </xf>
    <xf numFmtId="0" fontId="23" fillId="17" borderId="53" xfId="0" applyFont="1" applyFill="1" applyBorder="1" applyAlignment="1">
      <alignment horizontal="center" vertical="center" textRotation="90"/>
    </xf>
    <xf numFmtId="0" fontId="23" fillId="17" borderId="54" xfId="0" applyFont="1" applyFill="1" applyBorder="1" applyAlignment="1">
      <alignment horizontal="center" vertical="center" textRotation="90"/>
    </xf>
    <xf numFmtId="0" fontId="26" fillId="18" borderId="35" xfId="0" applyFont="1" applyFill="1" applyBorder="1" applyAlignment="1">
      <alignment horizontal="center" vertical="center" wrapText="1"/>
    </xf>
    <xf numFmtId="0" fontId="26" fillId="18" borderId="36" xfId="0" applyFont="1" applyFill="1" applyBorder="1" applyAlignment="1">
      <alignment horizontal="center" vertical="center" wrapText="1"/>
    </xf>
    <xf numFmtId="0" fontId="26" fillId="18" borderId="37" xfId="0" applyFont="1" applyFill="1" applyBorder="1" applyAlignment="1">
      <alignment horizontal="center" vertical="center" wrapText="1"/>
    </xf>
    <xf numFmtId="0" fontId="14" fillId="17" borderId="66" xfId="0" applyFont="1" applyFill="1" applyBorder="1" applyAlignment="1">
      <alignment horizontal="center" vertical="center" wrapText="1"/>
    </xf>
    <xf numFmtId="0" fontId="14" fillId="17" borderId="67" xfId="0" applyFont="1" applyFill="1" applyBorder="1" applyAlignment="1">
      <alignment horizontal="center" vertical="center" wrapText="1"/>
    </xf>
    <xf numFmtId="0" fontId="14" fillId="17" borderId="72" xfId="0" applyFont="1" applyFill="1" applyBorder="1" applyAlignment="1">
      <alignment horizontal="center" vertical="center" wrapText="1"/>
    </xf>
    <xf numFmtId="0" fontId="14" fillId="17" borderId="73" xfId="0" applyFont="1" applyFill="1" applyBorder="1" applyAlignment="1">
      <alignment horizontal="center" vertical="center" wrapText="1"/>
    </xf>
    <xf numFmtId="0" fontId="14" fillId="17" borderId="68" xfId="0" applyFont="1" applyFill="1" applyBorder="1" applyAlignment="1">
      <alignment horizontal="center" vertical="center" wrapText="1"/>
    </xf>
    <xf numFmtId="0" fontId="14" fillId="17" borderId="69" xfId="0" applyFont="1" applyFill="1" applyBorder="1" applyAlignment="1">
      <alignment horizontal="center" vertical="center" wrapText="1"/>
    </xf>
    <xf numFmtId="0" fontId="30" fillId="17" borderId="22" xfId="0" applyFont="1" applyFill="1" applyBorder="1" applyAlignment="1">
      <alignment horizontal="center" vertical="center" wrapText="1"/>
    </xf>
    <xf numFmtId="0" fontId="30" fillId="17" borderId="25" xfId="0" applyFont="1" applyFill="1" applyBorder="1" applyAlignment="1">
      <alignment horizontal="center" vertical="center" wrapText="1"/>
    </xf>
    <xf numFmtId="0" fontId="30" fillId="17" borderId="47" xfId="0" applyFont="1" applyFill="1" applyBorder="1" applyAlignment="1">
      <alignment horizontal="center" vertical="center" wrapText="1"/>
    </xf>
    <xf numFmtId="0" fontId="23" fillId="17" borderId="53" xfId="0" applyFont="1" applyFill="1" applyBorder="1" applyAlignment="1">
      <alignment horizontal="center" vertical="center" textRotation="90" wrapText="1"/>
    </xf>
    <xf numFmtId="0" fontId="23" fillId="17" borderId="54" xfId="0" applyFont="1" applyFill="1" applyBorder="1" applyAlignment="1">
      <alignment horizontal="center" vertical="center" textRotation="90" wrapText="1"/>
    </xf>
    <xf numFmtId="0" fontId="28" fillId="12" borderId="1" xfId="0" applyFont="1" applyFill="1" applyBorder="1" applyAlignment="1">
      <alignment horizontal="center" vertical="center" wrapText="1"/>
    </xf>
    <xf numFmtId="0" fontId="28" fillId="12" borderId="9" xfId="0" applyFont="1" applyFill="1" applyBorder="1" applyAlignment="1">
      <alignment horizontal="center" vertical="center" wrapText="1"/>
    </xf>
    <xf numFmtId="0" fontId="28" fillId="12" borderId="100" xfId="0" applyFont="1" applyFill="1" applyBorder="1" applyAlignment="1">
      <alignment horizontal="center" vertical="center" wrapText="1"/>
    </xf>
    <xf numFmtId="0" fontId="28" fillId="12" borderId="70" xfId="0" applyFont="1" applyFill="1" applyBorder="1" applyAlignment="1">
      <alignment horizontal="center" vertical="center" wrapText="1"/>
    </xf>
    <xf numFmtId="0" fontId="124" fillId="11" borderId="22" xfId="0" applyFont="1" applyFill="1" applyBorder="1" applyAlignment="1">
      <alignment horizontal="center" vertical="center" wrapText="1"/>
    </xf>
    <xf numFmtId="0" fontId="40" fillId="0" borderId="65" xfId="0" applyFont="1" applyBorder="1" applyAlignment="1">
      <alignment horizontal="center" vertical="center"/>
    </xf>
    <xf numFmtId="0" fontId="40" fillId="0" borderId="0" xfId="0" applyFont="1" applyAlignment="1">
      <alignment horizontal="center" vertical="center"/>
    </xf>
    <xf numFmtId="0" fontId="40" fillId="0" borderId="64" xfId="0" applyFont="1" applyBorder="1" applyAlignment="1">
      <alignment horizontal="center" vertical="center"/>
    </xf>
    <xf numFmtId="0" fontId="26" fillId="18" borderId="50" xfId="0" applyFont="1" applyFill="1" applyBorder="1" applyAlignment="1">
      <alignment horizontal="center" vertical="center" wrapText="1"/>
    </xf>
    <xf numFmtId="0" fontId="26" fillId="18" borderId="51" xfId="0" applyFont="1" applyFill="1" applyBorder="1" applyAlignment="1">
      <alignment horizontal="center" vertical="center" wrapText="1"/>
    </xf>
    <xf numFmtId="0" fontId="26" fillId="18" borderId="52" xfId="0" applyFont="1" applyFill="1" applyBorder="1" applyAlignment="1">
      <alignment horizontal="center" vertical="center" wrapText="1"/>
    </xf>
    <xf numFmtId="0" fontId="23" fillId="17" borderId="17" xfId="0" applyFont="1" applyFill="1" applyBorder="1" applyAlignment="1">
      <alignment horizontal="center" vertical="center" textRotation="90"/>
    </xf>
    <xf numFmtId="0" fontId="23" fillId="17" borderId="19" xfId="0" applyFont="1" applyFill="1" applyBorder="1" applyAlignment="1">
      <alignment horizontal="center" vertical="center" textRotation="90"/>
    </xf>
    <xf numFmtId="0" fontId="23" fillId="17" borderId="74" xfId="0" applyFont="1" applyFill="1" applyBorder="1" applyAlignment="1">
      <alignment horizontal="center" vertical="center" textRotation="90"/>
    </xf>
    <xf numFmtId="0" fontId="26" fillId="18" borderId="35" xfId="0" applyFont="1" applyFill="1" applyBorder="1" applyAlignment="1">
      <alignment horizontal="center" vertical="center"/>
    </xf>
    <xf numFmtId="0" fontId="26" fillId="18" borderId="36" xfId="0" applyFont="1" applyFill="1" applyBorder="1" applyAlignment="1">
      <alignment horizontal="center" vertical="center"/>
    </xf>
    <xf numFmtId="0" fontId="26" fillId="18" borderId="37" xfId="0" applyFont="1" applyFill="1" applyBorder="1" applyAlignment="1">
      <alignment horizontal="center" vertical="center"/>
    </xf>
    <xf numFmtId="0" fontId="30" fillId="17" borderId="12" xfId="0" applyFont="1" applyFill="1" applyBorder="1" applyAlignment="1">
      <alignment horizontal="center" vertical="center"/>
    </xf>
    <xf numFmtId="0" fontId="30" fillId="17" borderId="18" xfId="0" applyFont="1" applyFill="1" applyBorder="1" applyAlignment="1">
      <alignment horizontal="center" vertical="center"/>
    </xf>
    <xf numFmtId="0" fontId="14" fillId="17" borderId="38" xfId="0" applyFont="1" applyFill="1" applyBorder="1" applyAlignment="1">
      <alignment horizontal="center" vertical="center" wrapText="1"/>
    </xf>
    <xf numFmtId="0" fontId="14" fillId="17" borderId="24" xfId="0" applyFont="1" applyFill="1" applyBorder="1" applyAlignment="1">
      <alignment horizontal="center" vertical="center" wrapText="1"/>
    </xf>
    <xf numFmtId="0" fontId="28" fillId="12" borderId="4" xfId="0" applyFont="1" applyFill="1" applyBorder="1" applyAlignment="1">
      <alignment horizontal="center" vertical="center" wrapText="1"/>
    </xf>
    <xf numFmtId="0" fontId="30" fillId="17" borderId="22" xfId="0" applyFont="1" applyFill="1" applyBorder="1" applyAlignment="1">
      <alignment horizontal="center" vertical="center"/>
    </xf>
    <xf numFmtId="0" fontId="30" fillId="17" borderId="25" xfId="0" applyFont="1" applyFill="1" applyBorder="1" applyAlignment="1">
      <alignment horizontal="center" vertical="center"/>
    </xf>
    <xf numFmtId="0" fontId="30" fillId="17" borderId="47" xfId="0" applyFont="1" applyFill="1" applyBorder="1" applyAlignment="1">
      <alignment horizontal="center" vertical="center"/>
    </xf>
    <xf numFmtId="0" fontId="26" fillId="18" borderId="46" xfId="0" applyFont="1" applyFill="1" applyBorder="1" applyAlignment="1">
      <alignment horizontal="center" vertical="center"/>
    </xf>
    <xf numFmtId="0" fontId="26" fillId="18" borderId="11" xfId="0" applyFont="1" applyFill="1" applyBorder="1" applyAlignment="1">
      <alignment horizontal="center" vertical="center"/>
    </xf>
    <xf numFmtId="0" fontId="26" fillId="18" borderId="110" xfId="0" applyFont="1" applyFill="1" applyBorder="1" applyAlignment="1">
      <alignment horizontal="center" vertical="center"/>
    </xf>
    <xf numFmtId="0" fontId="90" fillId="17" borderId="38" xfId="0" applyFont="1" applyFill="1" applyBorder="1" applyAlignment="1">
      <alignment horizontal="center" vertical="center" wrapText="1"/>
    </xf>
    <xf numFmtId="0" fontId="39" fillId="17" borderId="24" xfId="0" applyFont="1" applyFill="1" applyBorder="1" applyAlignment="1">
      <alignment horizontal="center" vertical="center" wrapText="1"/>
    </xf>
    <xf numFmtId="0" fontId="39" fillId="17" borderId="38" xfId="0" applyFont="1" applyFill="1" applyBorder="1" applyAlignment="1">
      <alignment horizontal="center" vertical="center" wrapText="1"/>
    </xf>
    <xf numFmtId="0" fontId="90" fillId="17" borderId="25" xfId="0" applyFont="1" applyFill="1" applyBorder="1" applyAlignment="1">
      <alignment horizontal="center" vertical="center" wrapText="1"/>
    </xf>
    <xf numFmtId="0" fontId="90" fillId="17" borderId="47" xfId="0" applyFont="1" applyFill="1" applyBorder="1" applyAlignment="1">
      <alignment horizontal="center" vertical="center" wrapText="1"/>
    </xf>
    <xf numFmtId="0" fontId="90" fillId="17" borderId="53" xfId="0" applyFont="1" applyFill="1" applyBorder="1" applyAlignment="1">
      <alignment horizontal="center" vertical="center" textRotation="90" wrapText="1"/>
    </xf>
    <xf numFmtId="0" fontId="39" fillId="17" borderId="53" xfId="0" applyFont="1" applyFill="1" applyBorder="1" applyAlignment="1">
      <alignment horizontal="center" vertical="center" textRotation="90" wrapText="1"/>
    </xf>
    <xf numFmtId="0" fontId="39" fillId="17" borderId="54" xfId="0" applyFont="1" applyFill="1" applyBorder="1" applyAlignment="1">
      <alignment horizontal="center" vertical="center" textRotation="90" wrapText="1"/>
    </xf>
    <xf numFmtId="0" fontId="92" fillId="17" borderId="0" xfId="0" applyFont="1" applyFill="1" applyAlignment="1">
      <alignment horizontal="center" vertical="center"/>
    </xf>
    <xf numFmtId="0" fontId="14" fillId="17" borderId="0" xfId="0" applyFont="1" applyFill="1" applyAlignment="1">
      <alignment horizontal="center" vertical="center"/>
    </xf>
    <xf numFmtId="0" fontId="124" fillId="11" borderId="105" xfId="0" applyFont="1" applyFill="1" applyBorder="1" applyAlignment="1">
      <alignment horizontal="center" vertical="center" wrapText="1"/>
    </xf>
    <xf numFmtId="0" fontId="124" fillId="11" borderId="106" xfId="0" applyFont="1" applyFill="1" applyBorder="1" applyAlignment="1">
      <alignment horizontal="center" vertical="center" wrapText="1"/>
    </xf>
    <xf numFmtId="0" fontId="124" fillId="11" borderId="107" xfId="0" applyFont="1" applyFill="1" applyBorder="1" applyAlignment="1">
      <alignment horizontal="center" vertical="center" wrapText="1"/>
    </xf>
    <xf numFmtId="0" fontId="30" fillId="0" borderId="22" xfId="0" applyFont="1" applyBorder="1" applyAlignment="1">
      <alignment horizontal="left" vertical="center"/>
    </xf>
    <xf numFmtId="0" fontId="23" fillId="0" borderId="23" xfId="0" applyFont="1" applyBorder="1" applyAlignment="1">
      <alignment horizontal="left" vertical="center"/>
    </xf>
    <xf numFmtId="0" fontId="93" fillId="0" borderId="0" xfId="0" applyFont="1" applyAlignment="1">
      <alignment horizontal="left" vertical="center" wrapText="1"/>
    </xf>
    <xf numFmtId="0" fontId="79" fillId="0" borderId="0" xfId="0" applyFont="1" applyAlignment="1">
      <alignment horizontal="left" vertical="center" wrapText="1"/>
    </xf>
    <xf numFmtId="0" fontId="5" fillId="23" borderId="22" xfId="0" applyFont="1" applyFill="1" applyBorder="1" applyAlignment="1">
      <alignment horizontal="center" vertical="center"/>
    </xf>
    <xf numFmtId="0" fontId="5" fillId="23" borderId="25" xfId="0" applyFont="1" applyFill="1" applyBorder="1" applyAlignment="1">
      <alignment horizontal="center" vertical="center"/>
    </xf>
    <xf numFmtId="0" fontId="5" fillId="23" borderId="47" xfId="0" applyFont="1" applyFill="1" applyBorder="1" applyAlignment="1">
      <alignment horizontal="center" vertical="center"/>
    </xf>
    <xf numFmtId="0" fontId="5" fillId="12" borderId="25" xfId="0" applyFont="1" applyFill="1" applyBorder="1" applyAlignment="1">
      <alignment horizontal="center" vertical="center"/>
    </xf>
    <xf numFmtId="0" fontId="41" fillId="17" borderId="0" xfId="0" applyFont="1" applyFill="1" applyAlignment="1">
      <alignment horizontal="center" vertical="center"/>
    </xf>
    <xf numFmtId="0" fontId="18" fillId="17" borderId="17" xfId="0" applyFont="1" applyFill="1" applyBorder="1" applyAlignment="1">
      <alignment horizontal="center" vertical="center"/>
    </xf>
    <xf numFmtId="0" fontId="19" fillId="11" borderId="105" xfId="0" applyFont="1" applyFill="1" applyBorder="1" applyAlignment="1">
      <alignment horizontal="center" vertical="center" wrapText="1"/>
    </xf>
    <xf numFmtId="0" fontId="19" fillId="11" borderId="106" xfId="0" applyFont="1" applyFill="1" applyBorder="1" applyAlignment="1">
      <alignment horizontal="center" vertical="center" wrapText="1"/>
    </xf>
    <xf numFmtId="0" fontId="19" fillId="11" borderId="107" xfId="0" applyFont="1" applyFill="1" applyBorder="1" applyAlignment="1">
      <alignment horizontal="center" vertical="center" wrapText="1"/>
    </xf>
    <xf numFmtId="0" fontId="33" fillId="19" borderId="22" xfId="0" applyFont="1" applyFill="1" applyBorder="1" applyAlignment="1">
      <alignment horizontal="center"/>
    </xf>
    <xf numFmtId="0" fontId="33" fillId="19" borderId="25" xfId="0" applyFont="1" applyFill="1" applyBorder="1" applyAlignment="1">
      <alignment horizontal="center"/>
    </xf>
    <xf numFmtId="0" fontId="73" fillId="3" borderId="25" xfId="0" applyFont="1" applyFill="1" applyBorder="1" applyAlignment="1">
      <alignment horizontal="center"/>
    </xf>
    <xf numFmtId="0" fontId="73" fillId="3" borderId="23" xfId="0" applyFont="1" applyFill="1" applyBorder="1" applyAlignment="1">
      <alignment horizontal="center"/>
    </xf>
    <xf numFmtId="0" fontId="29" fillId="18" borderId="35" xfId="0" applyFont="1" applyFill="1" applyBorder="1" applyAlignment="1">
      <alignment horizontal="center" vertical="center"/>
    </xf>
    <xf numFmtId="0" fontId="29" fillId="18" borderId="36" xfId="0" applyFont="1" applyFill="1" applyBorder="1" applyAlignment="1">
      <alignment horizontal="center" vertical="center"/>
    </xf>
    <xf numFmtId="0" fontId="29" fillId="18" borderId="37" xfId="0" applyFont="1" applyFill="1" applyBorder="1" applyAlignment="1">
      <alignment horizontal="center" vertical="center"/>
    </xf>
    <xf numFmtId="0" fontId="5" fillId="23" borderId="23" xfId="0" applyFont="1" applyFill="1" applyBorder="1" applyAlignment="1">
      <alignment horizontal="center" vertical="center"/>
    </xf>
    <xf numFmtId="0" fontId="20" fillId="0" borderId="0" xfId="0" applyFont="1" applyAlignment="1">
      <alignment horizontal="center" vertical="center"/>
    </xf>
    <xf numFmtId="0" fontId="5" fillId="0" borderId="0" xfId="0" applyFont="1" applyAlignment="1">
      <alignment horizontal="center"/>
    </xf>
    <xf numFmtId="0" fontId="42" fillId="0" borderId="0" xfId="0" applyFont="1" applyAlignment="1">
      <alignment horizontal="left" vertical="center"/>
    </xf>
    <xf numFmtId="0" fontId="42" fillId="0" borderId="0" xfId="0" applyFont="1" applyAlignment="1">
      <alignment horizontal="left"/>
    </xf>
    <xf numFmtId="0" fontId="54" fillId="19" borderId="0" xfId="0" applyFont="1" applyFill="1" applyAlignment="1">
      <alignment horizontal="center"/>
    </xf>
    <xf numFmtId="0" fontId="54" fillId="19" borderId="6" xfId="0" applyFont="1" applyFill="1" applyBorder="1" applyAlignment="1">
      <alignment horizontal="center"/>
    </xf>
    <xf numFmtId="0" fontId="33" fillId="18" borderId="50" xfId="0" applyFont="1" applyFill="1" applyBorder="1" applyAlignment="1">
      <alignment horizontal="center" vertical="center"/>
    </xf>
    <xf numFmtId="0" fontId="33" fillId="18" borderId="51" xfId="0" applyFont="1" applyFill="1" applyBorder="1" applyAlignment="1">
      <alignment horizontal="center" vertical="center"/>
    </xf>
    <xf numFmtId="0" fontId="33" fillId="18" borderId="52" xfId="0" applyFont="1" applyFill="1" applyBorder="1" applyAlignment="1">
      <alignment horizontal="center" vertical="center"/>
    </xf>
    <xf numFmtId="0" fontId="54" fillId="19" borderId="0" xfId="0" applyFont="1" applyFill="1" applyAlignment="1">
      <alignment horizontal="center" vertical="center"/>
    </xf>
    <xf numFmtId="0" fontId="33" fillId="18" borderId="0" xfId="0" applyFont="1" applyFill="1" applyAlignment="1">
      <alignment horizontal="center"/>
    </xf>
    <xf numFmtId="0" fontId="52" fillId="18" borderId="50" xfId="0" applyFont="1" applyFill="1" applyBorder="1" applyAlignment="1">
      <alignment horizontal="center"/>
    </xf>
    <xf numFmtId="0" fontId="52" fillId="18" borderId="51" xfId="0" applyFont="1" applyFill="1" applyBorder="1" applyAlignment="1">
      <alignment horizontal="center"/>
    </xf>
    <xf numFmtId="0" fontId="52" fillId="18" borderId="52" xfId="0" applyFont="1" applyFill="1" applyBorder="1" applyAlignment="1">
      <alignment horizontal="center"/>
    </xf>
    <xf numFmtId="0" fontId="17" fillId="18" borderId="50" xfId="0" applyFont="1" applyFill="1" applyBorder="1" applyAlignment="1">
      <alignment horizontal="center" vertical="top"/>
    </xf>
    <xf numFmtId="0" fontId="17" fillId="18" borderId="51" xfId="0" applyFont="1" applyFill="1" applyBorder="1" applyAlignment="1">
      <alignment horizontal="center" vertical="top"/>
    </xf>
    <xf numFmtId="0" fontId="17" fillId="18" borderId="52" xfId="0" applyFont="1" applyFill="1" applyBorder="1" applyAlignment="1">
      <alignment horizontal="center" vertical="top"/>
    </xf>
    <xf numFmtId="0" fontId="13" fillId="0" borderId="0" xfId="2" applyFont="1" applyAlignment="1">
      <alignment horizontal="left" vertical="top" wrapText="1"/>
    </xf>
    <xf numFmtId="0" fontId="6" fillId="0" borderId="0" xfId="0" applyFont="1" applyAlignment="1">
      <alignment horizontal="left" vertical="top" wrapText="1"/>
    </xf>
    <xf numFmtId="0" fontId="6" fillId="0" borderId="5" xfId="0" applyFont="1" applyBorder="1" applyAlignment="1">
      <alignment horizontal="left" wrapText="1"/>
    </xf>
    <xf numFmtId="0" fontId="41" fillId="14" borderId="0" xfId="0" applyFont="1" applyFill="1" applyAlignment="1">
      <alignment horizontal="center" vertical="center"/>
    </xf>
    <xf numFmtId="0" fontId="54" fillId="24" borderId="25" xfId="0" applyFont="1" applyFill="1" applyBorder="1" applyAlignment="1">
      <alignment horizontal="center"/>
    </xf>
    <xf numFmtId="0" fontId="54" fillId="24" borderId="23" xfId="0" applyFont="1" applyFill="1" applyBorder="1" applyAlignment="1">
      <alignment horizontal="center"/>
    </xf>
    <xf numFmtId="0" fontId="6" fillId="0" borderId="2" xfId="0" applyFont="1" applyBorder="1" applyAlignment="1">
      <alignment horizontal="center"/>
    </xf>
    <xf numFmtId="0" fontId="6" fillId="0" borderId="10" xfId="0" applyFont="1" applyBorder="1" applyAlignment="1">
      <alignment horizontal="center"/>
    </xf>
    <xf numFmtId="0" fontId="6" fillId="0" borderId="3" xfId="0" applyFont="1" applyBorder="1" applyAlignment="1">
      <alignment horizontal="center"/>
    </xf>
    <xf numFmtId="0" fontId="54" fillId="19" borderId="78" xfId="0" applyFont="1" applyFill="1" applyBorder="1" applyAlignment="1">
      <alignment horizontal="center" vertical="center"/>
    </xf>
    <xf numFmtId="0" fontId="54" fillId="19" borderId="0" xfId="0" applyFont="1" applyFill="1" applyAlignment="1">
      <alignment horizontal="center" wrapText="1"/>
    </xf>
    <xf numFmtId="0" fontId="54" fillId="19" borderId="6" xfId="0" applyFont="1" applyFill="1" applyBorder="1" applyAlignment="1">
      <alignment horizontal="center" wrapText="1"/>
    </xf>
    <xf numFmtId="0" fontId="6" fillId="0" borderId="51" xfId="0" applyFont="1" applyBorder="1" applyAlignment="1">
      <alignment horizontal="left" vertical="center" wrapText="1"/>
    </xf>
    <xf numFmtId="0" fontId="33" fillId="18" borderId="112" xfId="0" applyFont="1" applyFill="1" applyBorder="1" applyAlignment="1">
      <alignment horizontal="center" vertical="center"/>
    </xf>
    <xf numFmtId="0" fontId="33" fillId="18" borderId="113" xfId="0" applyFont="1" applyFill="1" applyBorder="1" applyAlignment="1">
      <alignment horizontal="center" vertical="center"/>
    </xf>
    <xf numFmtId="0" fontId="33" fillId="18" borderId="114" xfId="0" applyFont="1" applyFill="1" applyBorder="1" applyAlignment="1">
      <alignment horizontal="center" vertical="center"/>
    </xf>
    <xf numFmtId="0" fontId="15" fillId="0" borderId="5" xfId="0" applyFont="1" applyBorder="1" applyAlignment="1">
      <alignment horizontal="left" vertical="center" wrapText="1"/>
    </xf>
    <xf numFmtId="0" fontId="15" fillId="0" borderId="0" xfId="0" applyFont="1" applyAlignment="1">
      <alignment horizontal="left" vertical="center" wrapText="1"/>
    </xf>
    <xf numFmtId="0" fontId="19" fillId="11" borderId="129" xfId="0" applyFont="1" applyFill="1" applyBorder="1" applyAlignment="1">
      <alignment horizontal="center" vertical="center" wrapText="1"/>
    </xf>
    <xf numFmtId="0" fontId="19" fillId="11" borderId="130" xfId="0" applyFont="1" applyFill="1" applyBorder="1" applyAlignment="1">
      <alignment horizontal="center" vertical="center" wrapText="1"/>
    </xf>
    <xf numFmtId="0" fontId="19" fillId="11" borderId="131" xfId="0" applyFont="1" applyFill="1" applyBorder="1" applyAlignment="1">
      <alignment horizontal="center" vertical="center" wrapText="1"/>
    </xf>
    <xf numFmtId="168" fontId="4" fillId="17" borderId="22" xfId="0" applyNumberFormat="1" applyFont="1" applyFill="1" applyBorder="1" applyAlignment="1">
      <alignment horizontal="center" vertical="center"/>
    </xf>
    <xf numFmtId="168" fontId="4" fillId="17" borderId="25" xfId="0" applyNumberFormat="1" applyFont="1" applyFill="1" applyBorder="1" applyAlignment="1">
      <alignment horizontal="center" vertical="center"/>
    </xf>
    <xf numFmtId="168" fontId="4" fillId="17" borderId="23" xfId="0" applyNumberFormat="1" applyFont="1" applyFill="1" applyBorder="1" applyAlignment="1">
      <alignment horizontal="center" vertical="center"/>
    </xf>
    <xf numFmtId="165" fontId="54" fillId="18" borderId="2" xfId="0" applyNumberFormat="1" applyFont="1" applyFill="1" applyBorder="1" applyAlignment="1">
      <alignment horizontal="center" vertical="center"/>
    </xf>
    <xf numFmtId="165" fontId="54" fillId="18" borderId="10" xfId="0" applyNumberFormat="1" applyFont="1" applyFill="1" applyBorder="1" applyAlignment="1">
      <alignment horizontal="center" vertical="center"/>
    </xf>
    <xf numFmtId="165" fontId="54" fillId="18" borderId="3" xfId="0" applyNumberFormat="1" applyFont="1" applyFill="1" applyBorder="1" applyAlignment="1">
      <alignment horizontal="center" vertical="center"/>
    </xf>
    <xf numFmtId="165" fontId="49" fillId="17" borderId="5" xfId="0" applyNumberFormat="1" applyFont="1" applyFill="1" applyBorder="1" applyAlignment="1">
      <alignment horizontal="center" vertical="center"/>
    </xf>
    <xf numFmtId="165" fontId="49" fillId="17" borderId="0" xfId="0" applyNumberFormat="1" applyFont="1" applyFill="1" applyAlignment="1">
      <alignment horizontal="center" vertical="center"/>
    </xf>
    <xf numFmtId="165" fontId="49" fillId="17" borderId="6" xfId="0" applyNumberFormat="1" applyFont="1" applyFill="1" applyBorder="1" applyAlignment="1">
      <alignment horizontal="center" vertical="center"/>
    </xf>
    <xf numFmtId="0" fontId="7" fillId="17" borderId="22" xfId="0" applyFont="1" applyFill="1" applyBorder="1" applyAlignment="1">
      <alignment horizontal="center" vertical="center"/>
    </xf>
    <xf numFmtId="0" fontId="7" fillId="17" borderId="25" xfId="0" applyFont="1" applyFill="1" applyBorder="1" applyAlignment="1">
      <alignment horizontal="center" vertical="center"/>
    </xf>
    <xf numFmtId="0" fontId="7" fillId="17" borderId="23" xfId="0" applyFont="1" applyFill="1" applyBorder="1" applyAlignment="1">
      <alignment horizontal="center" vertical="center"/>
    </xf>
    <xf numFmtId="0" fontId="73" fillId="12" borderId="77" xfId="0" applyFont="1" applyFill="1" applyBorder="1" applyAlignment="1">
      <alignment horizontal="center" vertical="center"/>
    </xf>
    <xf numFmtId="0" fontId="73" fillId="12" borderId="0" xfId="0" applyFont="1" applyFill="1" applyAlignment="1">
      <alignment horizontal="center" vertical="center"/>
    </xf>
    <xf numFmtId="168" fontId="34" fillId="17" borderId="17" xfId="0" applyNumberFormat="1" applyFont="1" applyFill="1" applyBorder="1" applyAlignment="1">
      <alignment horizontal="center" vertical="center"/>
    </xf>
    <xf numFmtId="168" fontId="34" fillId="17" borderId="12" xfId="0" applyNumberFormat="1" applyFont="1" applyFill="1" applyBorder="1" applyAlignment="1">
      <alignment horizontal="center" vertical="center"/>
    </xf>
    <xf numFmtId="0" fontId="52" fillId="18" borderId="14" xfId="0" applyFont="1" applyFill="1" applyBorder="1" applyAlignment="1">
      <alignment horizontal="center" vertical="center"/>
    </xf>
    <xf numFmtId="0" fontId="52" fillId="18" borderId="15" xfId="0" applyFont="1" applyFill="1" applyBorder="1" applyAlignment="1">
      <alignment horizontal="center" vertical="center"/>
    </xf>
    <xf numFmtId="0" fontId="52" fillId="18" borderId="16" xfId="0" applyFont="1" applyFill="1" applyBorder="1" applyAlignment="1">
      <alignment horizontal="center" vertical="center"/>
    </xf>
    <xf numFmtId="0" fontId="52" fillId="18" borderId="50" xfId="0" applyFont="1" applyFill="1" applyBorder="1" applyAlignment="1">
      <alignment horizontal="center" vertical="center"/>
    </xf>
    <xf numFmtId="0" fontId="52" fillId="18" borderId="51" xfId="0" applyFont="1" applyFill="1" applyBorder="1" applyAlignment="1">
      <alignment horizontal="center" vertical="center"/>
    </xf>
    <xf numFmtId="0" fontId="52" fillId="18" borderId="52" xfId="0" applyFont="1" applyFill="1" applyBorder="1" applyAlignment="1">
      <alignment horizontal="center" vertical="center"/>
    </xf>
    <xf numFmtId="0" fontId="49" fillId="14" borderId="77" xfId="0" applyFont="1" applyFill="1" applyBorder="1" applyAlignment="1">
      <alignment horizontal="center" vertical="center"/>
    </xf>
    <xf numFmtId="0" fontId="49" fillId="14" borderId="0" xfId="0" applyFont="1" applyFill="1" applyAlignment="1">
      <alignment horizontal="center" vertical="center"/>
    </xf>
    <xf numFmtId="0" fontId="49" fillId="14" borderId="78" xfId="0" applyFont="1" applyFill="1" applyBorder="1" applyAlignment="1">
      <alignment horizontal="center" vertical="center"/>
    </xf>
    <xf numFmtId="0" fontId="33" fillId="18" borderId="35" xfId="0" applyFont="1" applyFill="1" applyBorder="1" applyAlignment="1">
      <alignment horizontal="center" vertical="center"/>
    </xf>
    <xf numFmtId="0" fontId="33" fillId="18" borderId="36" xfId="0" applyFont="1" applyFill="1" applyBorder="1" applyAlignment="1">
      <alignment horizontal="center" vertical="center"/>
    </xf>
    <xf numFmtId="0" fontId="33" fillId="18" borderId="37" xfId="0" applyFont="1" applyFill="1" applyBorder="1" applyAlignment="1">
      <alignment horizontal="center" vertical="center"/>
    </xf>
    <xf numFmtId="0" fontId="5" fillId="23" borderId="12" xfId="0" applyFont="1" applyFill="1" applyBorder="1" applyAlignment="1">
      <alignment horizontal="center" vertical="center"/>
    </xf>
    <xf numFmtId="0" fontId="5" fillId="23" borderId="18" xfId="0" applyFont="1" applyFill="1" applyBorder="1" applyAlignment="1">
      <alignment horizontal="center" vertical="center"/>
    </xf>
    <xf numFmtId="0" fontId="35" fillId="0" borderId="0" xfId="0" applyFont="1" applyAlignment="1">
      <alignment horizontal="left" vertical="center" wrapText="1"/>
    </xf>
    <xf numFmtId="0" fontId="33" fillId="19" borderId="22" xfId="0" applyFont="1" applyFill="1" applyBorder="1" applyAlignment="1">
      <alignment horizontal="center" vertical="center"/>
    </xf>
    <xf numFmtId="0" fontId="33" fillId="19" borderId="25" xfId="0" applyFont="1" applyFill="1" applyBorder="1" applyAlignment="1">
      <alignment horizontal="center" vertical="center"/>
    </xf>
    <xf numFmtId="0" fontId="33" fillId="19" borderId="23" xfId="0" applyFont="1" applyFill="1" applyBorder="1" applyAlignment="1">
      <alignment horizontal="center" vertical="center"/>
    </xf>
    <xf numFmtId="0" fontId="52" fillId="19" borderId="0" xfId="0" applyFont="1" applyFill="1" applyAlignment="1">
      <alignment horizontal="center" vertical="center"/>
    </xf>
    <xf numFmtId="0" fontId="52" fillId="19" borderId="5" xfId="0" applyFont="1" applyFill="1" applyBorder="1" applyAlignment="1">
      <alignment horizontal="center"/>
    </xf>
    <xf numFmtId="0" fontId="52" fillId="19" borderId="0" xfId="0" applyFont="1" applyFill="1" applyAlignment="1">
      <alignment horizontal="center"/>
    </xf>
    <xf numFmtId="0" fontId="52" fillId="19" borderId="6" xfId="0" applyFont="1" applyFill="1" applyBorder="1" applyAlignment="1">
      <alignment horizontal="center"/>
    </xf>
    <xf numFmtId="0" fontId="73" fillId="3" borderId="12" xfId="0" applyFont="1" applyFill="1" applyBorder="1" applyAlignment="1">
      <alignment horizontal="center" vertical="center"/>
    </xf>
    <xf numFmtId="0" fontId="42" fillId="0" borderId="0" xfId="0" applyFont="1" applyAlignment="1">
      <alignment horizontal="center" vertical="center" wrapText="1"/>
    </xf>
    <xf numFmtId="0" fontId="50" fillId="0" borderId="111" xfId="0" applyFont="1" applyBorder="1" applyAlignment="1">
      <alignment horizontal="center" vertical="center" wrapText="1"/>
    </xf>
    <xf numFmtId="0" fontId="50" fillId="0" borderId="77" xfId="0" applyFont="1" applyBorder="1" applyAlignment="1">
      <alignment horizontal="center" vertical="center" wrapText="1"/>
    </xf>
    <xf numFmtId="0" fontId="50" fillId="0" borderId="79" xfId="0" applyFont="1" applyBorder="1" applyAlignment="1">
      <alignment horizontal="center" vertical="center" wrapText="1"/>
    </xf>
    <xf numFmtId="0" fontId="41" fillId="14" borderId="0" xfId="0" applyFont="1" applyFill="1" applyAlignment="1">
      <alignment horizontal="center" vertical="center" wrapText="1"/>
    </xf>
    <xf numFmtId="0" fontId="42" fillId="0" borderId="0" xfId="0" applyFont="1" applyAlignment="1">
      <alignment horizontal="left" vertical="center" wrapText="1"/>
    </xf>
    <xf numFmtId="0" fontId="34" fillId="0" borderId="0" xfId="0" applyFont="1" applyAlignment="1">
      <alignment horizontal="center" vertical="center" wrapText="1"/>
    </xf>
    <xf numFmtId="0" fontId="34" fillId="0" borderId="0" xfId="0" applyFont="1" applyAlignment="1">
      <alignment horizontal="center" shrinkToFit="1"/>
    </xf>
    <xf numFmtId="0" fontId="44" fillId="0" borderId="0" xfId="0" applyFont="1" applyAlignment="1">
      <alignment horizontal="left" vertical="center" wrapText="1"/>
    </xf>
    <xf numFmtId="0" fontId="41" fillId="17" borderId="2" xfId="0" applyFont="1" applyFill="1" applyBorder="1" applyAlignment="1">
      <alignment horizontal="center" vertical="center"/>
    </xf>
    <xf numFmtId="0" fontId="41" fillId="17" borderId="115" xfId="0" applyFont="1" applyFill="1" applyBorder="1" applyAlignment="1">
      <alignment horizontal="center" vertical="center"/>
    </xf>
    <xf numFmtId="0" fontId="9" fillId="0" borderId="0" xfId="2" applyFont="1" applyAlignment="1">
      <alignment horizontal="center" vertical="top" wrapText="1"/>
    </xf>
    <xf numFmtId="0" fontId="55" fillId="19" borderId="0" xfId="0" applyFont="1" applyFill="1" applyAlignment="1">
      <alignment horizontal="center" vertical="center"/>
    </xf>
    <xf numFmtId="0" fontId="5" fillId="14" borderId="2" xfId="0" applyFont="1" applyFill="1" applyBorder="1" applyAlignment="1">
      <alignment horizontal="center" vertical="center"/>
    </xf>
    <xf numFmtId="0" fontId="5" fillId="14" borderId="3" xfId="0" applyFont="1" applyFill="1" applyBorder="1" applyAlignment="1">
      <alignment horizontal="center" vertical="center"/>
    </xf>
    <xf numFmtId="0" fontId="6" fillId="0" borderId="0" xfId="0" applyFont="1" applyAlignment="1">
      <alignment horizontal="left" vertical="center"/>
    </xf>
    <xf numFmtId="0" fontId="6" fillId="0" borderId="0" xfId="0" applyFont="1" applyAlignment="1">
      <alignment horizontal="center"/>
    </xf>
    <xf numFmtId="0" fontId="76" fillId="18" borderId="14" xfId="0" applyFont="1" applyFill="1" applyBorder="1" applyAlignment="1">
      <alignment horizontal="center" vertical="center" wrapText="1"/>
    </xf>
    <xf numFmtId="0" fontId="76" fillId="18" borderId="15" xfId="0" applyFont="1" applyFill="1" applyBorder="1" applyAlignment="1">
      <alignment horizontal="center" vertical="center" wrapText="1"/>
    </xf>
    <xf numFmtId="0" fontId="76" fillId="18" borderId="16" xfId="0" applyFont="1" applyFill="1" applyBorder="1" applyAlignment="1">
      <alignment horizontal="center" vertical="center" wrapText="1"/>
    </xf>
    <xf numFmtId="0" fontId="18" fillId="0" borderId="22" xfId="0" applyFont="1" applyBorder="1" applyAlignment="1">
      <alignment horizontal="left" vertical="center"/>
    </xf>
    <xf numFmtId="0" fontId="18" fillId="0" borderId="25" xfId="0" applyFont="1" applyBorder="1" applyAlignment="1">
      <alignment horizontal="left" vertical="center"/>
    </xf>
    <xf numFmtId="0" fontId="18" fillId="0" borderId="23" xfId="0" applyFont="1" applyBorder="1" applyAlignment="1">
      <alignment horizontal="left" vertical="center"/>
    </xf>
    <xf numFmtId="0" fontId="6" fillId="0" borderId="0" xfId="0" applyFont="1" applyAlignment="1">
      <alignment horizontal="left"/>
    </xf>
    <xf numFmtId="0" fontId="52" fillId="18" borderId="14" xfId="0" applyFont="1" applyFill="1" applyBorder="1" applyAlignment="1">
      <alignment horizontal="center"/>
    </xf>
    <xf numFmtId="0" fontId="52" fillId="18" borderId="15" xfId="0" applyFont="1" applyFill="1" applyBorder="1" applyAlignment="1">
      <alignment horizontal="center"/>
    </xf>
    <xf numFmtId="0" fontId="52" fillId="18" borderId="16" xfId="0" applyFont="1" applyFill="1" applyBorder="1" applyAlignment="1">
      <alignment horizontal="center"/>
    </xf>
    <xf numFmtId="0" fontId="50" fillId="0" borderId="17"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9" xfId="0" applyFont="1" applyBorder="1" applyAlignment="1">
      <alignment horizontal="center" vertical="center" wrapText="1"/>
    </xf>
    <xf numFmtId="0" fontId="50" fillId="0" borderId="20" xfId="0" applyFont="1" applyBorder="1" applyAlignment="1">
      <alignment horizontal="center" vertical="center" wrapText="1"/>
    </xf>
    <xf numFmtId="0" fontId="41" fillId="0" borderId="22" xfId="0" applyFont="1" applyBorder="1" applyAlignment="1">
      <alignment horizontal="left"/>
    </xf>
    <xf numFmtId="0" fontId="41" fillId="0" borderId="25" xfId="0" applyFont="1" applyBorder="1" applyAlignment="1">
      <alignment horizontal="left"/>
    </xf>
    <xf numFmtId="0" fontId="41" fillId="0" borderId="23" xfId="0" applyFont="1" applyBorder="1" applyAlignment="1">
      <alignment horizontal="left"/>
    </xf>
    <xf numFmtId="0" fontId="44" fillId="0" borderId="17" xfId="0" applyFont="1" applyBorder="1" applyAlignment="1">
      <alignment horizontal="left" vertical="center" wrapText="1"/>
    </xf>
    <xf numFmtId="0" fontId="44" fillId="0" borderId="12" xfId="0" applyFont="1" applyBorder="1" applyAlignment="1">
      <alignment horizontal="left" vertical="center" wrapText="1"/>
    </xf>
    <xf numFmtId="0" fontId="44" fillId="0" borderId="19" xfId="0" applyFont="1" applyBorder="1" applyAlignment="1">
      <alignment horizontal="left" vertical="center" wrapText="1"/>
    </xf>
    <xf numFmtId="0" fontId="44" fillId="0" borderId="20" xfId="0" applyFont="1" applyBorder="1" applyAlignment="1">
      <alignment horizontal="left" vertical="center" wrapText="1"/>
    </xf>
    <xf numFmtId="0" fontId="17" fillId="18" borderId="35" xfId="0" applyFont="1" applyFill="1" applyBorder="1" applyAlignment="1">
      <alignment horizontal="center" vertical="center" wrapText="1"/>
    </xf>
    <xf numFmtId="0" fontId="52" fillId="18" borderId="36" xfId="0" applyFont="1" applyFill="1" applyBorder="1" applyAlignment="1">
      <alignment horizontal="center" vertical="center" wrapText="1"/>
    </xf>
    <xf numFmtId="0" fontId="52" fillId="18" borderId="37" xfId="0" applyFont="1" applyFill="1" applyBorder="1" applyAlignment="1">
      <alignment horizontal="center" vertical="center" wrapText="1"/>
    </xf>
    <xf numFmtId="0" fontId="73" fillId="0" borderId="0" xfId="0" applyFont="1" applyAlignment="1">
      <alignment horizontal="center"/>
    </xf>
    <xf numFmtId="0" fontId="44" fillId="0" borderId="0" xfId="0" applyFont="1" applyAlignment="1">
      <alignment horizontal="left"/>
    </xf>
    <xf numFmtId="0" fontId="44" fillId="0" borderId="0" xfId="0" applyFont="1" applyAlignment="1">
      <alignment horizontal="left" vertical="center"/>
    </xf>
    <xf numFmtId="0" fontId="22" fillId="0" borderId="0" xfId="0" applyFont="1" applyAlignment="1">
      <alignment horizontal="center" vertical="center"/>
    </xf>
    <xf numFmtId="0" fontId="52" fillId="18" borderId="35" xfId="0" applyFont="1" applyFill="1" applyBorder="1" applyAlignment="1">
      <alignment horizontal="center"/>
    </xf>
    <xf numFmtId="0" fontId="52" fillId="18" borderId="36" xfId="0" applyFont="1" applyFill="1" applyBorder="1" applyAlignment="1">
      <alignment horizontal="center"/>
    </xf>
    <xf numFmtId="0" fontId="52" fillId="18" borderId="37" xfId="0" applyFont="1" applyFill="1" applyBorder="1" applyAlignment="1">
      <alignment horizontal="center"/>
    </xf>
    <xf numFmtId="0" fontId="51" fillId="15" borderId="86" xfId="0" applyFont="1" applyFill="1" applyBorder="1" applyAlignment="1">
      <alignment horizontal="center" vertical="center" wrapText="1"/>
    </xf>
    <xf numFmtId="0" fontId="51" fillId="15" borderId="89" xfId="0" applyFont="1" applyFill="1" applyBorder="1" applyAlignment="1">
      <alignment horizontal="center" vertical="center" wrapText="1"/>
    </xf>
    <xf numFmtId="0" fontId="51" fillId="15" borderId="87" xfId="0" applyFont="1" applyFill="1" applyBorder="1" applyAlignment="1">
      <alignment horizontal="center" vertical="center" wrapText="1"/>
    </xf>
    <xf numFmtId="0" fontId="51" fillId="15" borderId="90" xfId="0" applyFont="1" applyFill="1" applyBorder="1" applyAlignment="1">
      <alignment horizontal="center" vertical="center" wrapText="1"/>
    </xf>
    <xf numFmtId="0" fontId="38" fillId="18" borderId="14" xfId="0" applyFont="1" applyFill="1" applyBorder="1" applyAlignment="1">
      <alignment horizontal="center" vertical="center" wrapText="1"/>
    </xf>
    <xf numFmtId="0" fontId="38" fillId="18" borderId="15" xfId="0" applyFont="1" applyFill="1" applyBorder="1" applyAlignment="1">
      <alignment horizontal="center" vertical="center" wrapText="1"/>
    </xf>
    <xf numFmtId="0" fontId="38" fillId="18" borderId="16" xfId="0" applyFont="1" applyFill="1" applyBorder="1" applyAlignment="1">
      <alignment horizontal="center" vertical="center" wrapText="1"/>
    </xf>
    <xf numFmtId="0" fontId="42" fillId="0" borderId="12" xfId="0" applyFont="1" applyBorder="1" applyAlignment="1">
      <alignment horizontal="center" wrapText="1"/>
    </xf>
    <xf numFmtId="0" fontId="49" fillId="15" borderId="85" xfId="2" applyFont="1" applyFill="1" applyBorder="1" applyAlignment="1">
      <alignment horizontal="center" wrapText="1"/>
    </xf>
    <xf numFmtId="0" fontId="49" fillId="15" borderId="88" xfId="2" applyFont="1" applyFill="1" applyBorder="1" applyAlignment="1">
      <alignment horizontal="center" wrapText="1"/>
    </xf>
    <xf numFmtId="0" fontId="49" fillId="15" borderId="91" xfId="2" applyFont="1" applyFill="1" applyBorder="1" applyAlignment="1">
      <alignment horizontal="center" wrapText="1"/>
    </xf>
    <xf numFmtId="0" fontId="52" fillId="18" borderId="35" xfId="0" applyFont="1" applyFill="1" applyBorder="1" applyAlignment="1">
      <alignment horizontal="center" vertical="center" wrapText="1"/>
    </xf>
    <xf numFmtId="0" fontId="52" fillId="18" borderId="36" xfId="0" applyFont="1" applyFill="1" applyBorder="1" applyAlignment="1">
      <alignment horizontal="center" vertical="center"/>
    </xf>
    <xf numFmtId="0" fontId="52" fillId="18" borderId="37" xfId="0" applyFont="1" applyFill="1" applyBorder="1" applyAlignment="1">
      <alignment horizontal="center" vertical="center"/>
    </xf>
    <xf numFmtId="0" fontId="38" fillId="18" borderId="35" xfId="0" applyFont="1" applyFill="1" applyBorder="1" applyAlignment="1">
      <alignment horizontal="center" vertical="center" wrapText="1"/>
    </xf>
    <xf numFmtId="0" fontId="38" fillId="18" borderId="36" xfId="0" applyFont="1" applyFill="1" applyBorder="1" applyAlignment="1">
      <alignment horizontal="center" vertical="center"/>
    </xf>
    <xf numFmtId="0" fontId="38" fillId="18" borderId="37" xfId="0" applyFont="1" applyFill="1" applyBorder="1" applyAlignment="1">
      <alignment horizontal="center" vertical="center"/>
    </xf>
    <xf numFmtId="0" fontId="6" fillId="0" borderId="77" xfId="0" applyFont="1" applyBorder="1" applyAlignment="1">
      <alignment horizontal="left" vertical="top" wrapText="1"/>
    </xf>
    <xf numFmtId="0" fontId="6" fillId="0" borderId="78" xfId="0" applyFont="1" applyBorder="1" applyAlignment="1">
      <alignment horizontal="left" vertical="top" wrapText="1"/>
    </xf>
    <xf numFmtId="0" fontId="6" fillId="0" borderId="80" xfId="0" applyFont="1" applyBorder="1" applyAlignment="1">
      <alignment horizontal="center" wrapText="1"/>
    </xf>
    <xf numFmtId="0" fontId="33" fillId="18" borderId="50" xfId="0" applyFont="1" applyFill="1" applyBorder="1" applyAlignment="1">
      <alignment horizontal="center" vertical="center" wrapText="1"/>
    </xf>
    <xf numFmtId="0" fontId="33" fillId="18" borderId="51" xfId="0" applyFont="1" applyFill="1" applyBorder="1" applyAlignment="1">
      <alignment horizontal="center" vertical="center" wrapText="1"/>
    </xf>
    <xf numFmtId="0" fontId="33" fillId="18" borderId="52" xfId="0" applyFont="1" applyFill="1" applyBorder="1" applyAlignment="1">
      <alignment horizontal="center" vertical="center" wrapText="1"/>
    </xf>
    <xf numFmtId="0" fontId="52" fillId="18" borderId="2" xfId="0" applyFont="1" applyFill="1" applyBorder="1" applyAlignment="1">
      <alignment horizontal="center" vertical="center"/>
    </xf>
    <xf numFmtId="0" fontId="52" fillId="18" borderId="3" xfId="0" applyFont="1" applyFill="1" applyBorder="1" applyAlignment="1">
      <alignment horizontal="center" vertical="center"/>
    </xf>
    <xf numFmtId="0" fontId="58" fillId="18" borderId="2" xfId="0" applyFont="1" applyFill="1" applyBorder="1" applyAlignment="1">
      <alignment horizontal="center" vertical="center"/>
    </xf>
    <xf numFmtId="0" fontId="58" fillId="18" borderId="10" xfId="0" applyFont="1" applyFill="1" applyBorder="1" applyAlignment="1">
      <alignment horizontal="center" vertical="center"/>
    </xf>
    <xf numFmtId="0" fontId="58" fillId="18" borderId="3" xfId="0" applyFont="1" applyFill="1" applyBorder="1" applyAlignment="1">
      <alignment horizontal="center" vertical="center"/>
    </xf>
    <xf numFmtId="0" fontId="33" fillId="18" borderId="22" xfId="0" applyFont="1" applyFill="1" applyBorder="1" applyAlignment="1">
      <alignment horizontal="center" vertical="center"/>
    </xf>
    <xf numFmtId="0" fontId="33" fillId="18" borderId="25" xfId="0" applyFont="1" applyFill="1" applyBorder="1" applyAlignment="1">
      <alignment horizontal="center" vertical="center"/>
    </xf>
    <xf numFmtId="0" fontId="33" fillId="18" borderId="23" xfId="0" applyFont="1" applyFill="1" applyBorder="1" applyAlignment="1">
      <alignment horizontal="center" vertical="center"/>
    </xf>
    <xf numFmtId="0" fontId="19" fillId="11" borderId="22" xfId="0" applyFont="1" applyFill="1" applyBorder="1" applyAlignment="1">
      <alignment horizontal="center" vertical="center" wrapText="1"/>
    </xf>
    <xf numFmtId="0" fontId="19" fillId="11" borderId="23" xfId="0" applyFont="1" applyFill="1" applyBorder="1" applyAlignment="1">
      <alignment horizontal="center" vertical="center" wrapText="1"/>
    </xf>
    <xf numFmtId="0" fontId="116" fillId="0" borderId="0" xfId="0" applyFont="1" applyAlignment="1">
      <alignment horizontal="center" vertical="top" wrapText="1"/>
    </xf>
    <xf numFmtId="0" fontId="54" fillId="18" borderId="0" xfId="0" applyFont="1" applyFill="1" applyAlignment="1">
      <alignment horizontal="center" vertical="center" wrapText="1"/>
    </xf>
    <xf numFmtId="0" fontId="6" fillId="0" borderId="0" xfId="0" applyFont="1" applyAlignment="1">
      <alignment horizontal="center" vertical="center" wrapText="1"/>
    </xf>
    <xf numFmtId="0" fontId="7" fillId="14" borderId="35" xfId="0" applyFont="1" applyFill="1" applyBorder="1" applyAlignment="1">
      <alignment horizontal="center" vertical="top"/>
    </xf>
    <xf numFmtId="0" fontId="7" fillId="14" borderId="36" xfId="0" applyFont="1" applyFill="1" applyBorder="1" applyAlignment="1">
      <alignment horizontal="center" vertical="top"/>
    </xf>
    <xf numFmtId="0" fontId="7" fillId="14" borderId="37" xfId="0" applyFont="1" applyFill="1" applyBorder="1" applyAlignment="1">
      <alignment horizontal="center" vertical="top"/>
    </xf>
    <xf numFmtId="0" fontId="6" fillId="0" borderId="11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5" xfId="0" applyFont="1" applyBorder="1" applyAlignment="1">
      <alignment horizontal="center" vertical="center" wrapText="1"/>
    </xf>
    <xf numFmtId="0" fontId="6" fillId="0" borderId="77" xfId="0" applyFont="1" applyBorder="1" applyAlignment="1">
      <alignment horizontal="center" vertical="center" wrapText="1"/>
    </xf>
    <xf numFmtId="0" fontId="6" fillId="0" borderId="78" xfId="0" applyFont="1" applyBorder="1" applyAlignment="1">
      <alignment horizontal="center" vertical="center" wrapText="1"/>
    </xf>
    <xf numFmtId="0" fontId="4" fillId="14" borderId="35" xfId="0" applyFont="1" applyFill="1" applyBorder="1" applyAlignment="1">
      <alignment horizontal="center" vertical="center"/>
    </xf>
    <xf numFmtId="0" fontId="4" fillId="14" borderId="36" xfId="0" applyFont="1" applyFill="1" applyBorder="1" applyAlignment="1">
      <alignment horizontal="center" vertical="center"/>
    </xf>
    <xf numFmtId="0" fontId="4" fillId="14" borderId="37" xfId="0" applyFont="1" applyFill="1" applyBorder="1" applyAlignment="1">
      <alignment horizontal="center" vertical="center"/>
    </xf>
    <xf numFmtId="0" fontId="5" fillId="14" borderId="14" xfId="0" applyFont="1" applyFill="1" applyBorder="1" applyAlignment="1">
      <alignment horizontal="center" vertical="center"/>
    </xf>
    <xf numFmtId="0" fontId="5" fillId="14" borderId="15" xfId="0" applyFont="1" applyFill="1" applyBorder="1" applyAlignment="1">
      <alignment horizontal="center" vertical="center"/>
    </xf>
    <xf numFmtId="0" fontId="5" fillId="14" borderId="16" xfId="0" applyFont="1" applyFill="1" applyBorder="1" applyAlignment="1">
      <alignment horizontal="center" vertical="center"/>
    </xf>
    <xf numFmtId="0" fontId="4" fillId="14" borderId="35" xfId="0" quotePrefix="1" applyFont="1" applyFill="1" applyBorder="1" applyAlignment="1">
      <alignment horizontal="center" vertical="center" wrapText="1"/>
    </xf>
    <xf numFmtId="0" fontId="4" fillId="14" borderId="36" xfId="0" quotePrefix="1" applyFont="1" applyFill="1" applyBorder="1" applyAlignment="1">
      <alignment horizontal="center" vertical="center" wrapText="1"/>
    </xf>
    <xf numFmtId="0" fontId="4" fillId="14" borderId="37" xfId="0" quotePrefix="1" applyFont="1" applyFill="1" applyBorder="1" applyAlignment="1">
      <alignment horizontal="center" vertical="center" wrapText="1"/>
    </xf>
    <xf numFmtId="0" fontId="13" fillId="0" borderId="0" xfId="2" applyFont="1" applyAlignment="1">
      <alignment horizontal="center" vertical="top" wrapText="1"/>
    </xf>
    <xf numFmtId="0" fontId="13" fillId="0" borderId="0" xfId="2" applyFont="1" applyAlignment="1">
      <alignment horizontal="center" vertical="center" wrapText="1"/>
    </xf>
    <xf numFmtId="0" fontId="6" fillId="0" borderId="0" xfId="0" applyFont="1" applyAlignment="1">
      <alignment horizontal="center" vertical="top" wrapText="1"/>
    </xf>
    <xf numFmtId="9" fontId="6" fillId="0" borderId="51" xfId="0" quotePrefix="1" applyNumberFormat="1" applyFont="1" applyBorder="1" applyAlignment="1">
      <alignment horizontal="center" vertical="top" wrapText="1"/>
    </xf>
    <xf numFmtId="0" fontId="5" fillId="14" borderId="0" xfId="0" applyFont="1" applyFill="1" applyAlignment="1">
      <alignment horizontal="center" vertical="center"/>
    </xf>
    <xf numFmtId="0" fontId="4" fillId="14" borderId="0" xfId="0" applyFont="1" applyFill="1" applyAlignment="1">
      <alignment horizontal="center" vertical="center"/>
    </xf>
    <xf numFmtId="0" fontId="8" fillId="0" borderId="0" xfId="0" applyFont="1" applyAlignment="1">
      <alignment horizontal="left" vertical="center" wrapText="1"/>
    </xf>
    <xf numFmtId="0" fontId="4" fillId="17" borderId="14" xfId="0" applyFont="1" applyFill="1" applyBorder="1" applyAlignment="1">
      <alignment horizontal="center" vertical="center" wrapText="1"/>
    </xf>
    <xf numFmtId="0" fontId="4" fillId="17" borderId="15" xfId="0" applyFont="1" applyFill="1" applyBorder="1" applyAlignment="1">
      <alignment horizontal="center" vertical="center" wrapText="1"/>
    </xf>
    <xf numFmtId="0" fontId="4" fillId="17" borderId="16" xfId="0" applyFont="1" applyFill="1" applyBorder="1" applyAlignment="1">
      <alignment horizontal="center" vertical="center" wrapText="1"/>
    </xf>
    <xf numFmtId="0" fontId="18" fillId="14" borderId="14" xfId="0" applyFont="1" applyFill="1" applyBorder="1" applyAlignment="1">
      <alignment horizontal="center" vertical="center"/>
    </xf>
    <xf numFmtId="0" fontId="18" fillId="14" borderId="15" xfId="0" applyFont="1" applyFill="1" applyBorder="1" applyAlignment="1">
      <alignment horizontal="center" vertical="center"/>
    </xf>
    <xf numFmtId="0" fontId="18" fillId="14" borderId="16" xfId="0" applyFont="1" applyFill="1" applyBorder="1" applyAlignment="1">
      <alignment horizontal="center" vertical="center"/>
    </xf>
    <xf numFmtId="0" fontId="15" fillId="0" borderId="80" xfId="0" applyFont="1" applyBorder="1" applyAlignment="1">
      <alignment horizontal="left" vertical="center" wrapText="1"/>
    </xf>
    <xf numFmtId="2" fontId="1" fillId="0" borderId="51" xfId="0" applyNumberFormat="1" applyFont="1" applyBorder="1" applyAlignment="1">
      <alignment horizontal="center" vertical="center" shrinkToFit="1"/>
    </xf>
    <xf numFmtId="0" fontId="56" fillId="18" borderId="50" xfId="0" applyFont="1" applyFill="1" applyBorder="1" applyAlignment="1">
      <alignment horizontal="center" vertical="center" wrapText="1"/>
    </xf>
    <xf numFmtId="0" fontId="56" fillId="18" borderId="51" xfId="0" applyFont="1" applyFill="1" applyBorder="1" applyAlignment="1">
      <alignment horizontal="center" vertical="center" wrapText="1"/>
    </xf>
    <xf numFmtId="0" fontId="56" fillId="18" borderId="52" xfId="0" applyFont="1" applyFill="1" applyBorder="1" applyAlignment="1">
      <alignment horizontal="center" vertical="center" wrapText="1"/>
    </xf>
    <xf numFmtId="0" fontId="61" fillId="0" borderId="50" xfId="0" applyFont="1" applyBorder="1" applyAlignment="1">
      <alignment horizontal="center"/>
    </xf>
    <xf numFmtId="0" fontId="61" fillId="0" borderId="51" xfId="0" applyFont="1" applyBorder="1" applyAlignment="1">
      <alignment horizontal="center"/>
    </xf>
    <xf numFmtId="0" fontId="61" fillId="0" borderId="52" xfId="0" applyFont="1" applyBorder="1" applyAlignment="1">
      <alignment horizontal="center"/>
    </xf>
    <xf numFmtId="0" fontId="56" fillId="18" borderId="77" xfId="0" applyFont="1" applyFill="1" applyBorder="1" applyAlignment="1">
      <alignment horizontal="center" vertical="center" wrapText="1"/>
    </xf>
    <xf numFmtId="0" fontId="56" fillId="18" borderId="0" xfId="0" applyFont="1" applyFill="1" applyAlignment="1">
      <alignment horizontal="center" vertical="center" wrapText="1"/>
    </xf>
    <xf numFmtId="0" fontId="56" fillId="18" borderId="78" xfId="0" applyFont="1" applyFill="1" applyBorder="1" applyAlignment="1">
      <alignment horizontal="center" vertical="center" wrapText="1"/>
    </xf>
    <xf numFmtId="0" fontId="56" fillId="18" borderId="2" xfId="0" applyFont="1" applyFill="1" applyBorder="1" applyAlignment="1">
      <alignment horizontal="center"/>
    </xf>
    <xf numFmtId="0" fontId="56" fillId="18" borderId="3" xfId="0" applyFont="1" applyFill="1" applyBorder="1" applyAlignment="1">
      <alignment horizontal="center"/>
    </xf>
    <xf numFmtId="0" fontId="111" fillId="0" borderId="5" xfId="0" applyFont="1" applyBorder="1" applyAlignment="1">
      <alignment horizontal="left" wrapText="1"/>
    </xf>
    <xf numFmtId="0" fontId="111" fillId="0" borderId="0" xfId="0" applyFont="1" applyAlignment="1">
      <alignment horizontal="left" wrapText="1"/>
    </xf>
    <xf numFmtId="0" fontId="52" fillId="18" borderId="2" xfId="0" applyFont="1" applyFill="1" applyBorder="1" applyAlignment="1">
      <alignment horizontal="center"/>
    </xf>
    <xf numFmtId="0" fontId="52" fillId="18" borderId="3" xfId="0" applyFont="1" applyFill="1" applyBorder="1" applyAlignment="1">
      <alignment horizontal="center"/>
    </xf>
  </cellXfs>
  <cellStyles count="17">
    <cellStyle name="Body: normal cell" xfId="5" xr:uid="{A2D815F8-79F4-4A81-9938-16AF1B5ACC18}"/>
    <cellStyle name="Comma" xfId="8" builtinId="3"/>
    <cellStyle name="Followed Hyperlink 2" xfId="14" xr:uid="{784E6D85-D69A-4332-B90D-8D6277AF558D}"/>
    <cellStyle name="Font: Calibri, 9pt regular" xfId="12" xr:uid="{49DF29AE-EA93-4563-B670-D10833C72EBF}"/>
    <cellStyle name="Footnotes: all except top row" xfId="15" xr:uid="{AB1ED8AA-4A08-4366-9C44-0019C24F2F88}"/>
    <cellStyle name="Footnotes: top row" xfId="10" xr:uid="{0C174EB4-1EBF-4B54-9028-BA2DB6943E34}"/>
    <cellStyle name="Header: bottom row" xfId="6" xr:uid="{7241ADA6-88C0-47A4-BCE4-C613CEEC196A}"/>
    <cellStyle name="Header: top rows" xfId="7" xr:uid="{72C85E77-58C6-43A2-94A1-B50D49692A2C}"/>
    <cellStyle name="Hyperlink" xfId="2" builtinId="8"/>
    <cellStyle name="Hyperlink 2" xfId="13" xr:uid="{8749F1B7-EE6F-494F-8D45-265F359DFA4E}"/>
    <cellStyle name="Normal" xfId="0" builtinId="0"/>
    <cellStyle name="Normal 2" xfId="1" xr:uid="{9BE73F2D-EAF6-47CC-9901-3E1DF8CB8153}"/>
    <cellStyle name="Normal 3" xfId="3" xr:uid="{CD12E1BE-6A60-4DCE-BFC6-3F0D5869AC4A}"/>
    <cellStyle name="Parent row" xfId="4" xr:uid="{4BDEF3C5-5EDB-4971-855D-982182DCC9EB}"/>
    <cellStyle name="Section Break" xfId="11" xr:uid="{13017780-D7AB-4CF2-8517-C92A4459F730}"/>
    <cellStyle name="Section Break: parent row" xfId="9" xr:uid="{1FA9B2A9-E07E-415F-80BE-2692A5005795}"/>
    <cellStyle name="Table title" xfId="16" xr:uid="{CFE19D0D-1967-4AC6-B2F6-D7CE4D1EC544}"/>
  </cellStyles>
  <dxfs count="12">
    <dxf>
      <font>
        <strike val="0"/>
        <color theme="3" tint="0.24994659260841701"/>
      </font>
    </dxf>
    <dxf>
      <font>
        <strike val="0"/>
        <color theme="3" tint="0.24994659260841701"/>
      </font>
    </dxf>
    <dxf>
      <font>
        <strike val="0"/>
        <color theme="3" tint="0.24994659260841701"/>
      </font>
    </dxf>
    <dxf>
      <font>
        <color rgb="FF0066FF"/>
      </font>
    </dxf>
    <dxf>
      <font>
        <color rgb="FF0066FF"/>
      </font>
    </dxf>
    <dxf>
      <font>
        <strike val="0"/>
        <color theme="3" tint="0.24994659260841701"/>
      </font>
    </dxf>
    <dxf>
      <font>
        <color rgb="FF0066FF"/>
      </font>
    </dxf>
    <dxf>
      <font>
        <strike val="0"/>
        <color theme="3" tint="0.24994659260841701"/>
      </font>
    </dxf>
    <dxf>
      <font>
        <strike val="0"/>
        <color theme="3" tint="0.24994659260841701"/>
      </font>
    </dxf>
    <dxf>
      <font>
        <color rgb="FF0066FF"/>
      </font>
    </dxf>
    <dxf>
      <border>
        <left/>
        <right/>
        <top/>
        <bottom style="thick">
          <color theme="4"/>
        </bottom>
        <vertical/>
        <horizontal/>
      </border>
    </dxf>
    <dxf>
      <border>
        <left/>
        <right/>
        <top/>
        <bottom/>
        <vertical/>
        <horizontal style="dotted">
          <color theme="0" tint="-0.24994659260841701"/>
        </horizontal>
      </border>
    </dxf>
  </dxfs>
  <tableStyles count="1" defaultTableStyle="TableStyleMedium2" defaultPivotStyle="PivotStyleLight16">
    <tableStyle name="Table Style 1" pivot="0" count="2" xr9:uid="{E7242E2E-C9C2-40A8-941E-E90A948EE847}">
      <tableStyleElement type="wholeTable" dxfId="11"/>
      <tableStyleElement type="headerRow" dxfId="10"/>
    </tableStyle>
  </tableStyles>
  <colors>
    <mruColors>
      <color rgb="FFFFFF66"/>
      <color rgb="FFFF3300"/>
      <color rgb="FFF7C7AC"/>
      <color rgb="FF215C98"/>
      <color rgb="FFF46F3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19.emf"/><Relationship Id="rId1" Type="http://schemas.openxmlformats.org/officeDocument/2006/relationships/hyperlink" Target="#'Table of Contents'!A1"/><Relationship Id="rId6" Type="http://schemas.openxmlformats.org/officeDocument/2006/relationships/image" Target="../media/image10.emf"/><Relationship Id="rId5" Type="http://schemas.openxmlformats.org/officeDocument/2006/relationships/image" Target="../media/image24.emf"/><Relationship Id="rId4" Type="http://schemas.openxmlformats.org/officeDocument/2006/relationships/image" Target="../media/image18.emf"/></Relationships>
</file>

<file path=xl/drawings/_rels/drawing11.xml.rels><?xml version="1.0" encoding="UTF-8" standalone="yes"?>
<Relationships xmlns="http://schemas.openxmlformats.org/package/2006/relationships"><Relationship Id="rId3" Type="http://schemas.openxmlformats.org/officeDocument/2006/relationships/image" Target="../media/image19.emf"/><Relationship Id="rId2" Type="http://schemas.openxmlformats.org/officeDocument/2006/relationships/image" Target="../media/image25.emf"/><Relationship Id="rId1" Type="http://schemas.openxmlformats.org/officeDocument/2006/relationships/hyperlink" Target="#'Table of Contents'!A1"/><Relationship Id="rId5" Type="http://schemas.openxmlformats.org/officeDocument/2006/relationships/image" Target="../media/image10.emf"/><Relationship Id="rId4" Type="http://schemas.openxmlformats.org/officeDocument/2006/relationships/image" Target="../media/image7.emf"/></Relationships>
</file>

<file path=xl/drawings/_rels/drawing12.xml.rels><?xml version="1.0" encoding="UTF-8" standalone="yes"?>
<Relationships xmlns="http://schemas.openxmlformats.org/package/2006/relationships"><Relationship Id="rId3" Type="http://schemas.openxmlformats.org/officeDocument/2006/relationships/image" Target="../media/image26.emf"/><Relationship Id="rId2" Type="http://schemas.openxmlformats.org/officeDocument/2006/relationships/image" Target="../media/image8.emf"/><Relationship Id="rId1" Type="http://schemas.openxmlformats.org/officeDocument/2006/relationships/hyperlink" Target="#'Table of Contents'!A1"/><Relationship Id="rId5" Type="http://schemas.openxmlformats.org/officeDocument/2006/relationships/image" Target="../media/image27.emf"/><Relationship Id="rId4" Type="http://schemas.openxmlformats.org/officeDocument/2006/relationships/image" Target="../media/image7.emf"/></Relationships>
</file>

<file path=xl/drawings/_rels/drawing13.xml.rels><?xml version="1.0" encoding="UTF-8" standalone="yes"?>
<Relationships xmlns="http://schemas.openxmlformats.org/package/2006/relationships"><Relationship Id="rId3" Type="http://schemas.openxmlformats.org/officeDocument/2006/relationships/image" Target="../media/image29.emf"/><Relationship Id="rId2" Type="http://schemas.openxmlformats.org/officeDocument/2006/relationships/image" Target="../media/image28.emf"/><Relationship Id="rId1" Type="http://schemas.openxmlformats.org/officeDocument/2006/relationships/hyperlink" Target="#'Table of Contents'!A1"/><Relationship Id="rId6" Type="http://schemas.openxmlformats.org/officeDocument/2006/relationships/image" Target="../media/image32.emf"/><Relationship Id="rId5" Type="http://schemas.openxmlformats.org/officeDocument/2006/relationships/image" Target="../media/image31.emf"/><Relationship Id="rId4" Type="http://schemas.openxmlformats.org/officeDocument/2006/relationships/image" Target="../media/image30.emf"/></Relationships>
</file>

<file path=xl/drawings/_rels/drawing1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17.xml.rels><?xml version="1.0" encoding="UTF-8" standalone="yes"?>
<Relationships xmlns="http://schemas.openxmlformats.org/package/2006/relationships"><Relationship Id="rId8" Type="http://schemas.openxmlformats.org/officeDocument/2006/relationships/image" Target="../media/image39.emf"/><Relationship Id="rId13" Type="http://schemas.openxmlformats.org/officeDocument/2006/relationships/image" Target="../media/image44.emf"/><Relationship Id="rId3" Type="http://schemas.openxmlformats.org/officeDocument/2006/relationships/image" Target="../media/image34.emf"/><Relationship Id="rId7" Type="http://schemas.openxmlformats.org/officeDocument/2006/relationships/image" Target="../media/image38.emf"/><Relationship Id="rId12" Type="http://schemas.openxmlformats.org/officeDocument/2006/relationships/image" Target="../media/image43.emf"/><Relationship Id="rId2" Type="http://schemas.openxmlformats.org/officeDocument/2006/relationships/image" Target="../media/image33.emf"/><Relationship Id="rId1" Type="http://schemas.openxmlformats.org/officeDocument/2006/relationships/hyperlink" Target="#'Table of Contents'!A1"/><Relationship Id="rId6" Type="http://schemas.openxmlformats.org/officeDocument/2006/relationships/image" Target="../media/image37.emf"/><Relationship Id="rId11" Type="http://schemas.openxmlformats.org/officeDocument/2006/relationships/image" Target="../media/image42.emf"/><Relationship Id="rId5" Type="http://schemas.openxmlformats.org/officeDocument/2006/relationships/image" Target="../media/image36.emf"/><Relationship Id="rId10" Type="http://schemas.openxmlformats.org/officeDocument/2006/relationships/image" Target="../media/image41.emf"/><Relationship Id="rId4" Type="http://schemas.openxmlformats.org/officeDocument/2006/relationships/image" Target="../media/image35.emf"/><Relationship Id="rId9" Type="http://schemas.openxmlformats.org/officeDocument/2006/relationships/image" Target="../media/image40.emf"/><Relationship Id="rId14" Type="http://schemas.openxmlformats.org/officeDocument/2006/relationships/image" Target="../media/image45.emf"/></Relationships>
</file>

<file path=xl/drawings/_rels/drawing18.xml.rels><?xml version="1.0" encoding="UTF-8" standalone="yes"?>
<Relationships xmlns="http://schemas.openxmlformats.org/package/2006/relationships"><Relationship Id="rId2" Type="http://schemas.openxmlformats.org/officeDocument/2006/relationships/image" Target="../media/image46.emf"/><Relationship Id="rId1" Type="http://schemas.openxmlformats.org/officeDocument/2006/relationships/hyperlink" Target="#'Table of Contents'!A1"/></Relationships>
</file>

<file path=xl/drawings/_rels/drawing19.xml.rels><?xml version="1.0" encoding="UTF-8" standalone="yes"?>
<Relationships xmlns="http://schemas.openxmlformats.org/package/2006/relationships"><Relationship Id="rId2" Type="http://schemas.openxmlformats.org/officeDocument/2006/relationships/image" Target="../media/image47.emf"/><Relationship Id="rId1" Type="http://schemas.openxmlformats.org/officeDocument/2006/relationships/hyperlink" Target="#'Table of Contents'!A1"/></Relationships>
</file>

<file path=xl/drawings/_rels/drawing2.xml.rels><?xml version="1.0" encoding="UTF-8" standalone="yes"?>
<Relationships xmlns="http://schemas.openxmlformats.org/package/2006/relationships"><Relationship Id="rId8" Type="http://schemas.openxmlformats.org/officeDocument/2006/relationships/hyperlink" Target="#'19 General Wages'!A1"/><Relationship Id="rId13" Type="http://schemas.openxmlformats.org/officeDocument/2006/relationships/hyperlink" Target="#'25 Markup Notes'!A1"/><Relationship Id="rId18" Type="http://schemas.openxmlformats.org/officeDocument/2006/relationships/hyperlink" Target="#'5 East North Central Costs'!A1"/><Relationship Id="rId26" Type="http://schemas.openxmlformats.org/officeDocument/2006/relationships/hyperlink" Target="#'9 West South Central Costs'!A1"/><Relationship Id="rId3" Type="http://schemas.openxmlformats.org/officeDocument/2006/relationships/hyperlink" Target="#'14 Space Heating Detailed Costs'!A1"/><Relationship Id="rId21" Type="http://schemas.openxmlformats.org/officeDocument/2006/relationships/hyperlink" Target="#'10 Moutain Costs'!A1"/><Relationship Id="rId7" Type="http://schemas.openxmlformats.org/officeDocument/2006/relationships/hyperlink" Target="#'17 Cooking Costs'!A1"/><Relationship Id="rId12" Type="http://schemas.openxmlformats.org/officeDocument/2006/relationships/hyperlink" Target="#'22 Credits &amp; Trends'!A1"/><Relationship Id="rId17" Type="http://schemas.openxmlformats.org/officeDocument/2006/relationships/hyperlink" Target="#'2 National Average Costs'!A1"/><Relationship Id="rId25" Type="http://schemas.openxmlformats.org/officeDocument/2006/relationships/hyperlink" Target="#'6 West North Central Costs'!A1"/><Relationship Id="rId2" Type="http://schemas.openxmlformats.org/officeDocument/2006/relationships/hyperlink" Target="#'13 Space Heating Costs'!A1"/><Relationship Id="rId16" Type="http://schemas.openxmlformats.org/officeDocument/2006/relationships/hyperlink" Target="#'23 Venting Notes'!A1"/><Relationship Id="rId20" Type="http://schemas.openxmlformats.org/officeDocument/2006/relationships/hyperlink" Target="#'4 Middle Atlantic Costs'!A1"/><Relationship Id="rId1" Type="http://schemas.openxmlformats.org/officeDocument/2006/relationships/hyperlink" Target="#'1 Methodology'!A1"/><Relationship Id="rId6" Type="http://schemas.openxmlformats.org/officeDocument/2006/relationships/hyperlink" Target="#'18 Clothes Drying Costs'!A1"/><Relationship Id="rId11" Type="http://schemas.openxmlformats.org/officeDocument/2006/relationships/hyperlink" Target="#'16 Water Heating Costs'!A1"/><Relationship Id="rId24" Type="http://schemas.openxmlformats.org/officeDocument/2006/relationships/hyperlink" Target="#'7 South Atlantic Costs'!A1"/><Relationship Id="rId5" Type="http://schemas.openxmlformats.org/officeDocument/2006/relationships/hyperlink" Target="#'12 Space Heating Subcomponents'!A1"/><Relationship Id="rId15" Type="http://schemas.openxmlformats.org/officeDocument/2006/relationships/hyperlink" Target="#'26 Gas Dryer Notes'!A1"/><Relationship Id="rId23" Type="http://schemas.openxmlformats.org/officeDocument/2006/relationships/hyperlink" Target="#'11 Pacific Costs'!A1"/><Relationship Id="rId10" Type="http://schemas.openxmlformats.org/officeDocument/2006/relationships/hyperlink" Target="#'21 Sales Taxes'!A1"/><Relationship Id="rId19" Type="http://schemas.openxmlformats.org/officeDocument/2006/relationships/hyperlink" Target="#'8 East South Central Costs'!A1"/><Relationship Id="rId4" Type="http://schemas.openxmlformats.org/officeDocument/2006/relationships/hyperlink" Target="#'15 Space Heating Demo &amp; Permit'!A1"/><Relationship Id="rId9" Type="http://schemas.openxmlformats.org/officeDocument/2006/relationships/hyperlink" Target="#'20 Excavation Wages'!A1"/><Relationship Id="rId14" Type="http://schemas.openxmlformats.org/officeDocument/2006/relationships/hyperlink" Target="#'24 Mini-Split Air Handler Notes'!A1"/><Relationship Id="rId22" Type="http://schemas.openxmlformats.org/officeDocument/2006/relationships/hyperlink" Target="#'3 New England Costs'!A1"/></Relationships>
</file>

<file path=xl/drawings/_rels/drawing20.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1.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2.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4.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5.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6.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7.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hyperlink" Target="#'Table of Contents'!A1"/><Relationship Id="rId6" Type="http://schemas.openxmlformats.org/officeDocument/2006/relationships/image" Target="../media/image7.emf"/><Relationship Id="rId5" Type="http://schemas.openxmlformats.org/officeDocument/2006/relationships/image" Target="../media/image6.emf"/><Relationship Id="rId4" Type="http://schemas.openxmlformats.org/officeDocument/2006/relationships/image" Target="../media/image5.emf"/></Relationships>
</file>

<file path=xl/drawings/_rels/drawing4.xml.rels><?xml version="1.0" encoding="UTF-8" standalone="yes"?>
<Relationships xmlns="http://schemas.openxmlformats.org/package/2006/relationships"><Relationship Id="rId3" Type="http://schemas.openxmlformats.org/officeDocument/2006/relationships/image" Target="../media/image9.emf"/><Relationship Id="rId2" Type="http://schemas.openxmlformats.org/officeDocument/2006/relationships/image" Target="../media/image8.emf"/><Relationship Id="rId1" Type="http://schemas.openxmlformats.org/officeDocument/2006/relationships/hyperlink" Target="#'Table of Contents'!A1"/><Relationship Id="rId5" Type="http://schemas.openxmlformats.org/officeDocument/2006/relationships/image" Target="../media/image10.emf"/><Relationship Id="rId4" Type="http://schemas.openxmlformats.org/officeDocument/2006/relationships/image" Target="../media/image7.emf"/></Relationships>
</file>

<file path=xl/drawings/_rels/drawing5.xml.rels><?xml version="1.0" encoding="UTF-8" standalone="yes"?>
<Relationships xmlns="http://schemas.openxmlformats.org/package/2006/relationships"><Relationship Id="rId8" Type="http://schemas.openxmlformats.org/officeDocument/2006/relationships/image" Target="../media/image16.emf"/><Relationship Id="rId3" Type="http://schemas.openxmlformats.org/officeDocument/2006/relationships/image" Target="../media/image11.emf"/><Relationship Id="rId7" Type="http://schemas.openxmlformats.org/officeDocument/2006/relationships/image" Target="../media/image15.emf"/><Relationship Id="rId12" Type="http://schemas.openxmlformats.org/officeDocument/2006/relationships/image" Target="../media/image18.emf"/><Relationship Id="rId2" Type="http://schemas.openxmlformats.org/officeDocument/2006/relationships/image" Target="../media/image8.emf"/><Relationship Id="rId1" Type="http://schemas.openxmlformats.org/officeDocument/2006/relationships/hyperlink" Target="#'Table of Contents'!A1"/><Relationship Id="rId6" Type="http://schemas.openxmlformats.org/officeDocument/2006/relationships/image" Target="../media/image14.emf"/><Relationship Id="rId11" Type="http://schemas.openxmlformats.org/officeDocument/2006/relationships/image" Target="../media/image7.emf"/><Relationship Id="rId5" Type="http://schemas.openxmlformats.org/officeDocument/2006/relationships/image" Target="../media/image13.emf"/><Relationship Id="rId10" Type="http://schemas.openxmlformats.org/officeDocument/2006/relationships/image" Target="../media/image6.emf"/><Relationship Id="rId4" Type="http://schemas.openxmlformats.org/officeDocument/2006/relationships/image" Target="../media/image12.emf"/><Relationship Id="rId9" Type="http://schemas.openxmlformats.org/officeDocument/2006/relationships/image" Target="../media/image17.emf"/></Relationships>
</file>

<file path=xl/drawings/_rels/drawing6.xml.rels><?xml version="1.0" encoding="UTF-8" standalone="yes"?>
<Relationships xmlns="http://schemas.openxmlformats.org/package/2006/relationships"><Relationship Id="rId3" Type="http://schemas.openxmlformats.org/officeDocument/2006/relationships/image" Target="../media/image19.emf"/><Relationship Id="rId2" Type="http://schemas.openxmlformats.org/officeDocument/2006/relationships/image" Target="../media/image8.emf"/><Relationship Id="rId1" Type="http://schemas.openxmlformats.org/officeDocument/2006/relationships/hyperlink" Target="#'Table of Contents'!A1"/><Relationship Id="rId5" Type="http://schemas.openxmlformats.org/officeDocument/2006/relationships/image" Target="../media/image10.emf"/><Relationship Id="rId4" Type="http://schemas.openxmlformats.org/officeDocument/2006/relationships/image" Target="../media/image7.emf"/></Relationships>
</file>

<file path=xl/drawings/_rels/drawing7.xml.rels><?xml version="1.0" encoding="UTF-8" standalone="yes"?>
<Relationships xmlns="http://schemas.openxmlformats.org/package/2006/relationships"><Relationship Id="rId3" Type="http://schemas.openxmlformats.org/officeDocument/2006/relationships/image" Target="../media/image19.emf"/><Relationship Id="rId2" Type="http://schemas.openxmlformats.org/officeDocument/2006/relationships/image" Target="../media/image8.emf"/><Relationship Id="rId1" Type="http://schemas.openxmlformats.org/officeDocument/2006/relationships/hyperlink" Target="#'Table of Contents'!A1"/><Relationship Id="rId5" Type="http://schemas.openxmlformats.org/officeDocument/2006/relationships/image" Target="../media/image20.emf"/><Relationship Id="rId4" Type="http://schemas.openxmlformats.org/officeDocument/2006/relationships/image" Target="../media/image7.emf"/></Relationships>
</file>

<file path=xl/drawings/_rels/drawing8.xml.rels><?xml version="1.0" encoding="UTF-8" standalone="yes"?>
<Relationships xmlns="http://schemas.openxmlformats.org/package/2006/relationships"><Relationship Id="rId3" Type="http://schemas.openxmlformats.org/officeDocument/2006/relationships/image" Target="../media/image19.emf"/><Relationship Id="rId2" Type="http://schemas.openxmlformats.org/officeDocument/2006/relationships/image" Target="../media/image8.emf"/><Relationship Id="rId1" Type="http://schemas.openxmlformats.org/officeDocument/2006/relationships/hyperlink" Target="#'Table of Contents'!A1"/><Relationship Id="rId5" Type="http://schemas.openxmlformats.org/officeDocument/2006/relationships/image" Target="../media/image21.emf"/><Relationship Id="rId4" Type="http://schemas.openxmlformats.org/officeDocument/2006/relationships/image" Target="../media/image7.emf"/></Relationships>
</file>

<file path=xl/drawings/_rels/drawing9.xml.rels><?xml version="1.0" encoding="UTF-8" standalone="yes"?>
<Relationships xmlns="http://schemas.openxmlformats.org/package/2006/relationships"><Relationship Id="rId3" Type="http://schemas.openxmlformats.org/officeDocument/2006/relationships/image" Target="../media/image19.emf"/><Relationship Id="rId7" Type="http://schemas.openxmlformats.org/officeDocument/2006/relationships/image" Target="../media/image10.emf"/><Relationship Id="rId2" Type="http://schemas.openxmlformats.org/officeDocument/2006/relationships/image" Target="../media/image8.emf"/><Relationship Id="rId1" Type="http://schemas.openxmlformats.org/officeDocument/2006/relationships/hyperlink" Target="#'Table of Contents'!A1"/><Relationship Id="rId6" Type="http://schemas.openxmlformats.org/officeDocument/2006/relationships/image" Target="../media/image23.emf"/><Relationship Id="rId5" Type="http://schemas.openxmlformats.org/officeDocument/2006/relationships/image" Target="../media/image7.emf"/><Relationship Id="rId4"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308427</xdr:colOff>
      <xdr:row>37</xdr:row>
      <xdr:rowOff>13607</xdr:rowOff>
    </xdr:to>
    <xdr:pic>
      <xdr:nvPicPr>
        <xdr:cNvPr id="4" name="Graphic 3">
          <a:extLst>
            <a:ext uri="{FF2B5EF4-FFF2-40B4-BE49-F238E27FC236}">
              <a16:creationId xmlns:a16="http://schemas.microsoft.com/office/drawing/2014/main" id="{777B4941-700E-4C04-965E-F4F29C020D5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0" y="0"/>
          <a:ext cx="12554856" cy="706210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0D4B1AAD-5CE1-4F5D-877B-F4222662446E}"/>
            </a:ext>
          </a:extLst>
        </xdr:cNvPr>
        <xdr:cNvSpPr/>
      </xdr:nvSpPr>
      <xdr:spPr>
        <a:xfrm>
          <a:off x="25574625" y="0"/>
          <a:ext cx="2095499" cy="10572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52</xdr:row>
      <xdr:rowOff>0</xdr:rowOff>
    </xdr:from>
    <xdr:to>
      <xdr:col>3</xdr:col>
      <xdr:colOff>9525</xdr:colOff>
      <xdr:row>54</xdr:row>
      <xdr:rowOff>9525</xdr:rowOff>
    </xdr:to>
    <xdr:pic>
      <xdr:nvPicPr>
        <xdr:cNvPr id="15" name="Picture 14">
          <a:extLst>
            <a:ext uri="{FF2B5EF4-FFF2-40B4-BE49-F238E27FC236}">
              <a16:creationId xmlns:a16="http://schemas.microsoft.com/office/drawing/2014/main" id="{12B8ECA4-B8A4-FFB3-9B94-18CE0BDDA4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 y="9575292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9525</xdr:colOff>
      <xdr:row>62</xdr:row>
      <xdr:rowOff>9525</xdr:rowOff>
    </xdr:to>
    <xdr:pic>
      <xdr:nvPicPr>
        <xdr:cNvPr id="16" name="Picture 15">
          <a:extLst>
            <a:ext uri="{FF2B5EF4-FFF2-40B4-BE49-F238E27FC236}">
              <a16:creationId xmlns:a16="http://schemas.microsoft.com/office/drawing/2014/main" id="{C9BC8574-D4D7-7809-DF6A-34E8793628C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440" y="1118539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9525</xdr:colOff>
      <xdr:row>62</xdr:row>
      <xdr:rowOff>9525</xdr:rowOff>
    </xdr:to>
    <xdr:pic>
      <xdr:nvPicPr>
        <xdr:cNvPr id="17" name="Picture 16">
          <a:extLst>
            <a:ext uri="{FF2B5EF4-FFF2-40B4-BE49-F238E27FC236}">
              <a16:creationId xmlns:a16="http://schemas.microsoft.com/office/drawing/2014/main" id="{2C127D55-8E9C-3A86-8402-F62B0AFC88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 y="1118539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3</xdr:col>
      <xdr:colOff>9525</xdr:colOff>
      <xdr:row>8</xdr:row>
      <xdr:rowOff>9525</xdr:rowOff>
    </xdr:to>
    <xdr:pic>
      <xdr:nvPicPr>
        <xdr:cNvPr id="18" name="Picture 17">
          <a:extLst>
            <a:ext uri="{FF2B5EF4-FFF2-40B4-BE49-F238E27FC236}">
              <a16:creationId xmlns:a16="http://schemas.microsoft.com/office/drawing/2014/main" id="{4B665123-3582-19E9-9402-2B20D2A7794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725" y="4876800"/>
          <a:ext cx="44386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16</xdr:col>
      <xdr:colOff>0</xdr:colOff>
      <xdr:row>6</xdr:row>
      <xdr:rowOff>0</xdr:rowOff>
    </xdr:from>
    <xdr:ext cx="4429125" cy="2714625"/>
    <xdr:pic>
      <xdr:nvPicPr>
        <xdr:cNvPr id="19" name="Picture 18">
          <a:extLst>
            <a:ext uri="{FF2B5EF4-FFF2-40B4-BE49-F238E27FC236}">
              <a16:creationId xmlns:a16="http://schemas.microsoft.com/office/drawing/2014/main" id="{EE97796F-E281-492D-B518-A81018AF744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953000"/>
          <a:ext cx="4429125" cy="2714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6</xdr:row>
      <xdr:rowOff>0</xdr:rowOff>
    </xdr:from>
    <xdr:ext cx="4429125" cy="2714625"/>
    <xdr:pic>
      <xdr:nvPicPr>
        <xdr:cNvPr id="20" name="Picture 19">
          <a:extLst>
            <a:ext uri="{FF2B5EF4-FFF2-40B4-BE49-F238E27FC236}">
              <a16:creationId xmlns:a16="http://schemas.microsoft.com/office/drawing/2014/main" id="{99BC72A1-1CC8-4D92-BEDF-78967F721D9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953000"/>
          <a:ext cx="4429125" cy="2714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22</xdr:row>
      <xdr:rowOff>0</xdr:rowOff>
    </xdr:from>
    <xdr:to>
      <xdr:col>3</xdr:col>
      <xdr:colOff>9525</xdr:colOff>
      <xdr:row>25</xdr:row>
      <xdr:rowOff>9525</xdr:rowOff>
    </xdr:to>
    <xdr:pic>
      <xdr:nvPicPr>
        <xdr:cNvPr id="22" name="Picture 21">
          <a:extLst>
            <a:ext uri="{FF2B5EF4-FFF2-40B4-BE49-F238E27FC236}">
              <a16:creationId xmlns:a16="http://schemas.microsoft.com/office/drawing/2014/main" id="{A2D469DF-54AD-C40D-A331-955BEEAE4AE6}"/>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5725" y="39957375"/>
          <a:ext cx="4438650" cy="303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16</xdr:col>
      <xdr:colOff>0</xdr:colOff>
      <xdr:row>22</xdr:row>
      <xdr:rowOff>0</xdr:rowOff>
    </xdr:from>
    <xdr:ext cx="4429125" cy="3095625"/>
    <xdr:pic>
      <xdr:nvPicPr>
        <xdr:cNvPr id="23" name="Picture 22">
          <a:extLst>
            <a:ext uri="{FF2B5EF4-FFF2-40B4-BE49-F238E27FC236}">
              <a16:creationId xmlns:a16="http://schemas.microsoft.com/office/drawing/2014/main" id="{8E45368C-9BD3-4577-9F69-42551AAE663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22</xdr:row>
      <xdr:rowOff>0</xdr:rowOff>
    </xdr:from>
    <xdr:ext cx="4429125" cy="3095625"/>
    <xdr:pic>
      <xdr:nvPicPr>
        <xdr:cNvPr id="24" name="Picture 23">
          <a:extLst>
            <a:ext uri="{FF2B5EF4-FFF2-40B4-BE49-F238E27FC236}">
              <a16:creationId xmlns:a16="http://schemas.microsoft.com/office/drawing/2014/main" id="{3E576845-3CA2-4AED-B638-16DD867892CE}"/>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32</xdr:row>
      <xdr:rowOff>0</xdr:rowOff>
    </xdr:from>
    <xdr:ext cx="4429125" cy="3095625"/>
    <xdr:pic>
      <xdr:nvPicPr>
        <xdr:cNvPr id="25" name="Picture 24">
          <a:extLst>
            <a:ext uri="{FF2B5EF4-FFF2-40B4-BE49-F238E27FC236}">
              <a16:creationId xmlns:a16="http://schemas.microsoft.com/office/drawing/2014/main" id="{3182CE96-427C-40CA-9E9D-7AA6289DE48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0</xdr:colOff>
      <xdr:row>32</xdr:row>
      <xdr:rowOff>0</xdr:rowOff>
    </xdr:from>
    <xdr:ext cx="4429125" cy="3095625"/>
    <xdr:pic>
      <xdr:nvPicPr>
        <xdr:cNvPr id="26" name="Picture 25">
          <a:extLst>
            <a:ext uri="{FF2B5EF4-FFF2-40B4-BE49-F238E27FC236}">
              <a16:creationId xmlns:a16="http://schemas.microsoft.com/office/drawing/2014/main" id="{8F7762A3-A687-4E81-801C-E3D69ABAFEC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42</xdr:row>
      <xdr:rowOff>0</xdr:rowOff>
    </xdr:from>
    <xdr:ext cx="4429125" cy="3095625"/>
    <xdr:pic>
      <xdr:nvPicPr>
        <xdr:cNvPr id="27" name="Picture 26">
          <a:extLst>
            <a:ext uri="{FF2B5EF4-FFF2-40B4-BE49-F238E27FC236}">
              <a16:creationId xmlns:a16="http://schemas.microsoft.com/office/drawing/2014/main" id="{8C334A39-2D92-4A92-9B04-14EB1D98B1F9}"/>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0</xdr:colOff>
      <xdr:row>42</xdr:row>
      <xdr:rowOff>0</xdr:rowOff>
    </xdr:from>
    <xdr:ext cx="4429125" cy="3095625"/>
    <xdr:pic>
      <xdr:nvPicPr>
        <xdr:cNvPr id="28" name="Picture 27">
          <a:extLst>
            <a:ext uri="{FF2B5EF4-FFF2-40B4-BE49-F238E27FC236}">
              <a16:creationId xmlns:a16="http://schemas.microsoft.com/office/drawing/2014/main" id="{AD0FE3B6-FAB9-4156-8C72-17CAA4CE64E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42</xdr:row>
      <xdr:rowOff>0</xdr:rowOff>
    </xdr:from>
    <xdr:ext cx="4429125" cy="3095625"/>
    <xdr:pic>
      <xdr:nvPicPr>
        <xdr:cNvPr id="29" name="Picture 28">
          <a:extLst>
            <a:ext uri="{FF2B5EF4-FFF2-40B4-BE49-F238E27FC236}">
              <a16:creationId xmlns:a16="http://schemas.microsoft.com/office/drawing/2014/main" id="{523EBCC9-75EF-477F-BD6A-38F9E8845A6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32</xdr:row>
      <xdr:rowOff>0</xdr:rowOff>
    </xdr:from>
    <xdr:ext cx="4429125" cy="3095625"/>
    <xdr:pic>
      <xdr:nvPicPr>
        <xdr:cNvPr id="30" name="Picture 29">
          <a:extLst>
            <a:ext uri="{FF2B5EF4-FFF2-40B4-BE49-F238E27FC236}">
              <a16:creationId xmlns:a16="http://schemas.microsoft.com/office/drawing/2014/main" id="{37B45275-73FB-48D5-93E6-5C24236548CB}"/>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12</xdr:col>
      <xdr:colOff>0</xdr:colOff>
      <xdr:row>0</xdr:row>
      <xdr:rowOff>0</xdr:rowOff>
    </xdr:from>
    <xdr:to>
      <xdr:col>12</xdr:col>
      <xdr:colOff>2095499</xdr:colOff>
      <xdr:row>3</xdr:row>
      <xdr:rowOff>-1</xdr:rowOff>
    </xdr:to>
    <xdr:sp macro="" textlink="">
      <xdr:nvSpPr>
        <xdr:cNvPr id="5" name="Rectangle 4" descr="Tab Link to Table of Contents">
          <a:hlinkClick xmlns:r="http://schemas.openxmlformats.org/officeDocument/2006/relationships" r:id="rId1"/>
          <a:extLst>
            <a:ext uri="{FF2B5EF4-FFF2-40B4-BE49-F238E27FC236}">
              <a16:creationId xmlns:a16="http://schemas.microsoft.com/office/drawing/2014/main" id="{0434EF12-E1BE-4D3A-9C47-2B20BA399616}"/>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12</xdr:col>
      <xdr:colOff>0</xdr:colOff>
      <xdr:row>0</xdr:row>
      <xdr:rowOff>0</xdr:rowOff>
    </xdr:from>
    <xdr:to>
      <xdr:col>12</xdr:col>
      <xdr:colOff>2095499</xdr:colOff>
      <xdr:row>3</xdr:row>
      <xdr:rowOff>-1</xdr:rowOff>
    </xdr:to>
    <xdr:sp macro="" textlink="">
      <xdr:nvSpPr>
        <xdr:cNvPr id="6" name="Rectangle 5" descr="Tab Link to Table of Contents">
          <a:hlinkClick xmlns:r="http://schemas.openxmlformats.org/officeDocument/2006/relationships" r:id="rId1"/>
          <a:extLst>
            <a:ext uri="{FF2B5EF4-FFF2-40B4-BE49-F238E27FC236}">
              <a16:creationId xmlns:a16="http://schemas.microsoft.com/office/drawing/2014/main" id="{29346EA8-4AED-48DB-9465-C3C26EE89595}"/>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5A9C5AE9-310C-4E57-97B6-863B402C8CFF}"/>
            </a:ext>
          </a:extLst>
        </xdr:cNvPr>
        <xdr:cNvSpPr/>
      </xdr:nvSpPr>
      <xdr:spPr>
        <a:xfrm>
          <a:off x="25574625" y="0"/>
          <a:ext cx="2095499" cy="10572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6</xdr:row>
      <xdr:rowOff>0</xdr:rowOff>
    </xdr:from>
    <xdr:to>
      <xdr:col>3</xdr:col>
      <xdr:colOff>15240</xdr:colOff>
      <xdr:row>8</xdr:row>
      <xdr:rowOff>15240</xdr:rowOff>
    </xdr:to>
    <xdr:pic>
      <xdr:nvPicPr>
        <xdr:cNvPr id="3" name="Picture 2">
          <a:extLst>
            <a:ext uri="{FF2B5EF4-FFF2-40B4-BE49-F238E27FC236}">
              <a16:creationId xmlns:a16="http://schemas.microsoft.com/office/drawing/2014/main" id="{468796F8-0577-C689-2712-05077F8815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9525</xdr:colOff>
      <xdr:row>54</xdr:row>
      <xdr:rowOff>9525</xdr:rowOff>
    </xdr:to>
    <xdr:pic>
      <xdr:nvPicPr>
        <xdr:cNvPr id="16" name="Picture 15">
          <a:extLst>
            <a:ext uri="{FF2B5EF4-FFF2-40B4-BE49-F238E27FC236}">
              <a16:creationId xmlns:a16="http://schemas.microsoft.com/office/drawing/2014/main" id="{34AD43DC-B1B4-F0A4-3E1E-90E72E4DDDF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440" y="958900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9525</xdr:colOff>
      <xdr:row>62</xdr:row>
      <xdr:rowOff>9525</xdr:rowOff>
    </xdr:to>
    <xdr:pic>
      <xdr:nvPicPr>
        <xdr:cNvPr id="17" name="Picture 16">
          <a:extLst>
            <a:ext uri="{FF2B5EF4-FFF2-40B4-BE49-F238E27FC236}">
              <a16:creationId xmlns:a16="http://schemas.microsoft.com/office/drawing/2014/main" id="{9FA57D62-1642-A80E-B781-52C9F164B98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 y="11199114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6</xdr:row>
      <xdr:rowOff>0</xdr:rowOff>
    </xdr:from>
    <xdr:to>
      <xdr:col>18</xdr:col>
      <xdr:colOff>15240</xdr:colOff>
      <xdr:row>8</xdr:row>
      <xdr:rowOff>15240</xdr:rowOff>
    </xdr:to>
    <xdr:pic>
      <xdr:nvPicPr>
        <xdr:cNvPr id="15" name="Picture 14">
          <a:extLst>
            <a:ext uri="{FF2B5EF4-FFF2-40B4-BE49-F238E27FC236}">
              <a16:creationId xmlns:a16="http://schemas.microsoft.com/office/drawing/2014/main" id="{BA0DEFA5-EA61-4D52-866C-906FB12F31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8500" y="4953000"/>
          <a:ext cx="443484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6</xdr:row>
      <xdr:rowOff>0</xdr:rowOff>
    </xdr:from>
    <xdr:to>
      <xdr:col>33</xdr:col>
      <xdr:colOff>15240</xdr:colOff>
      <xdr:row>8</xdr:row>
      <xdr:rowOff>15240</xdr:rowOff>
    </xdr:to>
    <xdr:pic>
      <xdr:nvPicPr>
        <xdr:cNvPr id="18" name="Picture 17">
          <a:extLst>
            <a:ext uri="{FF2B5EF4-FFF2-40B4-BE49-F238E27FC236}">
              <a16:creationId xmlns:a16="http://schemas.microsoft.com/office/drawing/2014/main" id="{2A9AE707-036B-4593-BCB8-887FA74A6D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600800" y="4953000"/>
          <a:ext cx="443484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22</xdr:row>
      <xdr:rowOff>0</xdr:rowOff>
    </xdr:from>
    <xdr:to>
      <xdr:col>3</xdr:col>
      <xdr:colOff>9525</xdr:colOff>
      <xdr:row>25</xdr:row>
      <xdr:rowOff>9525</xdr:rowOff>
    </xdr:to>
    <xdr:pic>
      <xdr:nvPicPr>
        <xdr:cNvPr id="19" name="Picture 18">
          <a:extLst>
            <a:ext uri="{FF2B5EF4-FFF2-40B4-BE49-F238E27FC236}">
              <a16:creationId xmlns:a16="http://schemas.microsoft.com/office/drawing/2014/main" id="{579CD399-B86A-32E9-F125-032A13D09BE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725" y="39957375"/>
          <a:ext cx="4438650" cy="303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16</xdr:col>
      <xdr:colOff>0</xdr:colOff>
      <xdr:row>22</xdr:row>
      <xdr:rowOff>0</xdr:rowOff>
    </xdr:from>
    <xdr:ext cx="4429125" cy="3095625"/>
    <xdr:pic>
      <xdr:nvPicPr>
        <xdr:cNvPr id="20" name="Picture 19">
          <a:extLst>
            <a:ext uri="{FF2B5EF4-FFF2-40B4-BE49-F238E27FC236}">
              <a16:creationId xmlns:a16="http://schemas.microsoft.com/office/drawing/2014/main" id="{211DDF36-DA89-4145-BBAA-6381B4B5130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0</xdr:colOff>
      <xdr:row>32</xdr:row>
      <xdr:rowOff>0</xdr:rowOff>
    </xdr:from>
    <xdr:ext cx="4429125" cy="3095625"/>
    <xdr:pic>
      <xdr:nvPicPr>
        <xdr:cNvPr id="21" name="Picture 20">
          <a:extLst>
            <a:ext uri="{FF2B5EF4-FFF2-40B4-BE49-F238E27FC236}">
              <a16:creationId xmlns:a16="http://schemas.microsoft.com/office/drawing/2014/main" id="{258E21C3-B7F2-44BB-A0F8-5E812E077DE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32</xdr:row>
      <xdr:rowOff>0</xdr:rowOff>
    </xdr:from>
    <xdr:ext cx="4429125" cy="3095625"/>
    <xdr:pic>
      <xdr:nvPicPr>
        <xdr:cNvPr id="22" name="Picture 21">
          <a:extLst>
            <a:ext uri="{FF2B5EF4-FFF2-40B4-BE49-F238E27FC236}">
              <a16:creationId xmlns:a16="http://schemas.microsoft.com/office/drawing/2014/main" id="{A29A9EFC-2C50-4D75-A8B4-8064A4707D9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0</xdr:colOff>
      <xdr:row>42</xdr:row>
      <xdr:rowOff>0</xdr:rowOff>
    </xdr:from>
    <xdr:ext cx="4429125" cy="3095625"/>
    <xdr:pic>
      <xdr:nvPicPr>
        <xdr:cNvPr id="23" name="Picture 22">
          <a:extLst>
            <a:ext uri="{FF2B5EF4-FFF2-40B4-BE49-F238E27FC236}">
              <a16:creationId xmlns:a16="http://schemas.microsoft.com/office/drawing/2014/main" id="{C1BFE265-8409-46F0-B648-9B1E6CD54B4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42</xdr:row>
      <xdr:rowOff>0</xdr:rowOff>
    </xdr:from>
    <xdr:ext cx="4429125" cy="3095625"/>
    <xdr:pic>
      <xdr:nvPicPr>
        <xdr:cNvPr id="24" name="Picture 23">
          <a:extLst>
            <a:ext uri="{FF2B5EF4-FFF2-40B4-BE49-F238E27FC236}">
              <a16:creationId xmlns:a16="http://schemas.microsoft.com/office/drawing/2014/main" id="{8FD742BE-9E49-4E44-861F-F2194842BA1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42</xdr:row>
      <xdr:rowOff>0</xdr:rowOff>
    </xdr:from>
    <xdr:ext cx="4429125" cy="3095625"/>
    <xdr:pic>
      <xdr:nvPicPr>
        <xdr:cNvPr id="25" name="Picture 24">
          <a:extLst>
            <a:ext uri="{FF2B5EF4-FFF2-40B4-BE49-F238E27FC236}">
              <a16:creationId xmlns:a16="http://schemas.microsoft.com/office/drawing/2014/main" id="{79F331DC-003F-430F-A9D5-499ECC36C41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32</xdr:row>
      <xdr:rowOff>0</xdr:rowOff>
    </xdr:from>
    <xdr:ext cx="4429125" cy="3095625"/>
    <xdr:pic>
      <xdr:nvPicPr>
        <xdr:cNvPr id="26" name="Picture 25">
          <a:extLst>
            <a:ext uri="{FF2B5EF4-FFF2-40B4-BE49-F238E27FC236}">
              <a16:creationId xmlns:a16="http://schemas.microsoft.com/office/drawing/2014/main" id="{3CF64E7F-954F-4A5B-A033-E9CE10388E0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22</xdr:row>
      <xdr:rowOff>0</xdr:rowOff>
    </xdr:from>
    <xdr:ext cx="4429125" cy="3095625"/>
    <xdr:pic>
      <xdr:nvPicPr>
        <xdr:cNvPr id="27" name="Picture 26">
          <a:extLst>
            <a:ext uri="{FF2B5EF4-FFF2-40B4-BE49-F238E27FC236}">
              <a16:creationId xmlns:a16="http://schemas.microsoft.com/office/drawing/2014/main" id="{F5C623FC-85E5-4B0C-9E50-6D7CA3D2617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12</xdr:col>
      <xdr:colOff>0</xdr:colOff>
      <xdr:row>0</xdr:row>
      <xdr:rowOff>0</xdr:rowOff>
    </xdr:from>
    <xdr:to>
      <xdr:col>12</xdr:col>
      <xdr:colOff>2095499</xdr:colOff>
      <xdr:row>3</xdr:row>
      <xdr:rowOff>-1</xdr:rowOff>
    </xdr:to>
    <xdr:sp macro="" textlink="">
      <xdr:nvSpPr>
        <xdr:cNvPr id="6" name="Rectangle 5" descr="Tab Link to Table of Contents">
          <a:hlinkClick xmlns:r="http://schemas.openxmlformats.org/officeDocument/2006/relationships" r:id="rId1"/>
          <a:extLst>
            <a:ext uri="{FF2B5EF4-FFF2-40B4-BE49-F238E27FC236}">
              <a16:creationId xmlns:a16="http://schemas.microsoft.com/office/drawing/2014/main" id="{3FDF3AE2-05EB-44EB-88E7-A1F051933CAD}"/>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12</xdr:col>
      <xdr:colOff>0</xdr:colOff>
      <xdr:row>0</xdr:row>
      <xdr:rowOff>0</xdr:rowOff>
    </xdr:from>
    <xdr:to>
      <xdr:col>12</xdr:col>
      <xdr:colOff>2095499</xdr:colOff>
      <xdr:row>3</xdr:row>
      <xdr:rowOff>-1</xdr:rowOff>
    </xdr:to>
    <xdr:sp macro="" textlink="">
      <xdr:nvSpPr>
        <xdr:cNvPr id="7" name="Rectangle 6" descr="Tab Link to Table of Contents">
          <a:hlinkClick xmlns:r="http://schemas.openxmlformats.org/officeDocument/2006/relationships" r:id="rId1"/>
          <a:extLst>
            <a:ext uri="{FF2B5EF4-FFF2-40B4-BE49-F238E27FC236}">
              <a16:creationId xmlns:a16="http://schemas.microsoft.com/office/drawing/2014/main" id="{EED511C7-180B-4D5A-9F72-76B9CCCB62C5}"/>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3442928B-EC93-4867-96B3-F983A149CD0D}"/>
            </a:ext>
          </a:extLst>
        </xdr:cNvPr>
        <xdr:cNvSpPr/>
      </xdr:nvSpPr>
      <xdr:spPr>
        <a:xfrm>
          <a:off x="25574625" y="0"/>
          <a:ext cx="2095499" cy="10572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6</xdr:row>
      <xdr:rowOff>0</xdr:rowOff>
    </xdr:from>
    <xdr:to>
      <xdr:col>3</xdr:col>
      <xdr:colOff>19050</xdr:colOff>
      <xdr:row>8</xdr:row>
      <xdr:rowOff>19050</xdr:rowOff>
    </xdr:to>
    <xdr:pic>
      <xdr:nvPicPr>
        <xdr:cNvPr id="3" name="Picture 2">
          <a:extLst>
            <a:ext uri="{FF2B5EF4-FFF2-40B4-BE49-F238E27FC236}">
              <a16:creationId xmlns:a16="http://schemas.microsoft.com/office/drawing/2014/main" id="{A118422F-E98C-FC65-E849-A3A3CBF650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7620</xdr:colOff>
      <xdr:row>54</xdr:row>
      <xdr:rowOff>7620</xdr:rowOff>
    </xdr:to>
    <xdr:pic>
      <xdr:nvPicPr>
        <xdr:cNvPr id="15" name="Picture 14">
          <a:extLst>
            <a:ext uri="{FF2B5EF4-FFF2-40B4-BE49-F238E27FC236}">
              <a16:creationId xmlns:a16="http://schemas.microsoft.com/office/drawing/2014/main" id="{9C2495B7-AC2C-A60D-2D1A-5BE16332FD6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440" y="9686544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7620</xdr:colOff>
      <xdr:row>62</xdr:row>
      <xdr:rowOff>7620</xdr:rowOff>
    </xdr:to>
    <xdr:pic>
      <xdr:nvPicPr>
        <xdr:cNvPr id="18" name="Picture 17">
          <a:extLst>
            <a:ext uri="{FF2B5EF4-FFF2-40B4-BE49-F238E27FC236}">
              <a16:creationId xmlns:a16="http://schemas.microsoft.com/office/drawing/2014/main" id="{5D3C0240-7718-DDCE-35B5-6F8A984C46D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 y="1137970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6</xdr:row>
      <xdr:rowOff>0</xdr:rowOff>
    </xdr:from>
    <xdr:to>
      <xdr:col>18</xdr:col>
      <xdr:colOff>19050</xdr:colOff>
      <xdr:row>8</xdr:row>
      <xdr:rowOff>19050</xdr:rowOff>
    </xdr:to>
    <xdr:pic>
      <xdr:nvPicPr>
        <xdr:cNvPr id="16" name="Picture 15">
          <a:extLst>
            <a:ext uri="{FF2B5EF4-FFF2-40B4-BE49-F238E27FC236}">
              <a16:creationId xmlns:a16="http://schemas.microsoft.com/office/drawing/2014/main" id="{AF3A50A4-58A9-4042-9A33-84BC42A9B9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8500" y="4953000"/>
          <a:ext cx="44386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6</xdr:row>
      <xdr:rowOff>0</xdr:rowOff>
    </xdr:from>
    <xdr:to>
      <xdr:col>33</xdr:col>
      <xdr:colOff>19050</xdr:colOff>
      <xdr:row>8</xdr:row>
      <xdr:rowOff>19050</xdr:rowOff>
    </xdr:to>
    <xdr:pic>
      <xdr:nvPicPr>
        <xdr:cNvPr id="17" name="Picture 16">
          <a:extLst>
            <a:ext uri="{FF2B5EF4-FFF2-40B4-BE49-F238E27FC236}">
              <a16:creationId xmlns:a16="http://schemas.microsoft.com/office/drawing/2014/main" id="{0850BAA1-8E73-4552-9E7F-EC4011B316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600800" y="4953000"/>
          <a:ext cx="44386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22</xdr:row>
      <xdr:rowOff>0</xdr:rowOff>
    </xdr:from>
    <xdr:to>
      <xdr:col>3</xdr:col>
      <xdr:colOff>9525</xdr:colOff>
      <xdr:row>25</xdr:row>
      <xdr:rowOff>9525</xdr:rowOff>
    </xdr:to>
    <xdr:pic>
      <xdr:nvPicPr>
        <xdr:cNvPr id="19" name="Picture 18">
          <a:extLst>
            <a:ext uri="{FF2B5EF4-FFF2-40B4-BE49-F238E27FC236}">
              <a16:creationId xmlns:a16="http://schemas.microsoft.com/office/drawing/2014/main" id="{93E6FA5A-260D-7AA3-E235-A78D0938BED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725" y="39957375"/>
          <a:ext cx="4438650" cy="303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16</xdr:col>
      <xdr:colOff>0</xdr:colOff>
      <xdr:row>22</xdr:row>
      <xdr:rowOff>0</xdr:rowOff>
    </xdr:from>
    <xdr:ext cx="4429125" cy="3095625"/>
    <xdr:pic>
      <xdr:nvPicPr>
        <xdr:cNvPr id="20" name="Picture 19">
          <a:extLst>
            <a:ext uri="{FF2B5EF4-FFF2-40B4-BE49-F238E27FC236}">
              <a16:creationId xmlns:a16="http://schemas.microsoft.com/office/drawing/2014/main" id="{1B21B787-1270-46CD-9062-1106340CF31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0</xdr:colOff>
      <xdr:row>32</xdr:row>
      <xdr:rowOff>0</xdr:rowOff>
    </xdr:from>
    <xdr:ext cx="4429125" cy="3095625"/>
    <xdr:pic>
      <xdr:nvPicPr>
        <xdr:cNvPr id="21" name="Picture 20">
          <a:extLst>
            <a:ext uri="{FF2B5EF4-FFF2-40B4-BE49-F238E27FC236}">
              <a16:creationId xmlns:a16="http://schemas.microsoft.com/office/drawing/2014/main" id="{15B02917-2B97-40BC-BCBA-6D2164A8767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32</xdr:row>
      <xdr:rowOff>0</xdr:rowOff>
    </xdr:from>
    <xdr:ext cx="4429125" cy="3095625"/>
    <xdr:pic>
      <xdr:nvPicPr>
        <xdr:cNvPr id="22" name="Picture 21">
          <a:extLst>
            <a:ext uri="{FF2B5EF4-FFF2-40B4-BE49-F238E27FC236}">
              <a16:creationId xmlns:a16="http://schemas.microsoft.com/office/drawing/2014/main" id="{39218ECB-58D3-4124-8004-9932EF71E39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0</xdr:colOff>
      <xdr:row>42</xdr:row>
      <xdr:rowOff>0</xdr:rowOff>
    </xdr:from>
    <xdr:ext cx="4429125" cy="3095625"/>
    <xdr:pic>
      <xdr:nvPicPr>
        <xdr:cNvPr id="23" name="Picture 22">
          <a:extLst>
            <a:ext uri="{FF2B5EF4-FFF2-40B4-BE49-F238E27FC236}">
              <a16:creationId xmlns:a16="http://schemas.microsoft.com/office/drawing/2014/main" id="{4EC4549D-BE5F-4A55-815C-59BA1E332D6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42</xdr:row>
      <xdr:rowOff>0</xdr:rowOff>
    </xdr:from>
    <xdr:ext cx="4429125" cy="3095625"/>
    <xdr:pic>
      <xdr:nvPicPr>
        <xdr:cNvPr id="24" name="Picture 23">
          <a:extLst>
            <a:ext uri="{FF2B5EF4-FFF2-40B4-BE49-F238E27FC236}">
              <a16:creationId xmlns:a16="http://schemas.microsoft.com/office/drawing/2014/main" id="{FF8B3CC9-0BFB-48B2-ABFF-E5123AF55EB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42</xdr:row>
      <xdr:rowOff>0</xdr:rowOff>
    </xdr:from>
    <xdr:ext cx="4429125" cy="3095625"/>
    <xdr:pic>
      <xdr:nvPicPr>
        <xdr:cNvPr id="25" name="Picture 24">
          <a:extLst>
            <a:ext uri="{FF2B5EF4-FFF2-40B4-BE49-F238E27FC236}">
              <a16:creationId xmlns:a16="http://schemas.microsoft.com/office/drawing/2014/main" id="{E16B05BE-60C5-4C54-9CB5-F4C526807D3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32</xdr:row>
      <xdr:rowOff>0</xdr:rowOff>
    </xdr:from>
    <xdr:ext cx="4429125" cy="3095625"/>
    <xdr:pic>
      <xdr:nvPicPr>
        <xdr:cNvPr id="26" name="Picture 25">
          <a:extLst>
            <a:ext uri="{FF2B5EF4-FFF2-40B4-BE49-F238E27FC236}">
              <a16:creationId xmlns:a16="http://schemas.microsoft.com/office/drawing/2014/main" id="{DD6F1EF3-EFE8-44A0-B6B5-9958614E676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22</xdr:row>
      <xdr:rowOff>0</xdr:rowOff>
    </xdr:from>
    <xdr:ext cx="4429125" cy="3095625"/>
    <xdr:pic>
      <xdr:nvPicPr>
        <xdr:cNvPr id="27" name="Picture 26">
          <a:extLst>
            <a:ext uri="{FF2B5EF4-FFF2-40B4-BE49-F238E27FC236}">
              <a16:creationId xmlns:a16="http://schemas.microsoft.com/office/drawing/2014/main" id="{B573F893-68B3-4D54-9FC1-96BD27CFA2E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12</xdr:col>
      <xdr:colOff>0</xdr:colOff>
      <xdr:row>0</xdr:row>
      <xdr:rowOff>0</xdr:rowOff>
    </xdr:from>
    <xdr:to>
      <xdr:col>12</xdr:col>
      <xdr:colOff>2095499</xdr:colOff>
      <xdr:row>3</xdr:row>
      <xdr:rowOff>-1</xdr:rowOff>
    </xdr:to>
    <xdr:sp macro="" textlink="">
      <xdr:nvSpPr>
        <xdr:cNvPr id="6" name="Rectangle 5" descr="Tab Link to Table of Contents">
          <a:hlinkClick xmlns:r="http://schemas.openxmlformats.org/officeDocument/2006/relationships" r:id="rId1"/>
          <a:extLst>
            <a:ext uri="{FF2B5EF4-FFF2-40B4-BE49-F238E27FC236}">
              <a16:creationId xmlns:a16="http://schemas.microsoft.com/office/drawing/2014/main" id="{EDC782FE-18E5-4213-BD49-5D3C0C83D8FF}"/>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12</xdr:col>
      <xdr:colOff>0</xdr:colOff>
      <xdr:row>0</xdr:row>
      <xdr:rowOff>0</xdr:rowOff>
    </xdr:from>
    <xdr:to>
      <xdr:col>12</xdr:col>
      <xdr:colOff>2095499</xdr:colOff>
      <xdr:row>3</xdr:row>
      <xdr:rowOff>-1</xdr:rowOff>
    </xdr:to>
    <xdr:sp macro="" textlink="">
      <xdr:nvSpPr>
        <xdr:cNvPr id="7" name="Rectangle 6" descr="Tab Link to Table of Contents">
          <a:hlinkClick xmlns:r="http://schemas.openxmlformats.org/officeDocument/2006/relationships" r:id="rId1"/>
          <a:extLst>
            <a:ext uri="{FF2B5EF4-FFF2-40B4-BE49-F238E27FC236}">
              <a16:creationId xmlns:a16="http://schemas.microsoft.com/office/drawing/2014/main" id="{8F9ECD07-E107-468D-95D0-8D665BB14FF5}"/>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0</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960E3D84-56A3-4D37-84F5-CCF109938D61}"/>
            </a:ext>
          </a:extLst>
        </xdr:cNvPr>
        <xdr:cNvSpPr/>
      </xdr:nvSpPr>
      <xdr:spPr>
        <a:xfrm>
          <a:off x="7315200" y="0"/>
          <a:ext cx="609599" cy="571500"/>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twoCellAnchor editAs="oneCell">
    <xdr:from>
      <xdr:col>3</xdr:col>
      <xdr:colOff>0</xdr:colOff>
      <xdr:row>8</xdr:row>
      <xdr:rowOff>0</xdr:rowOff>
    </xdr:from>
    <xdr:to>
      <xdr:col>5</xdr:col>
      <xdr:colOff>5715</xdr:colOff>
      <xdr:row>10</xdr:row>
      <xdr:rowOff>5715</xdr:rowOff>
    </xdr:to>
    <xdr:pic>
      <xdr:nvPicPr>
        <xdr:cNvPr id="3" name="Picture 2">
          <a:extLst>
            <a:ext uri="{FF2B5EF4-FFF2-40B4-BE49-F238E27FC236}">
              <a16:creationId xmlns:a16="http://schemas.microsoft.com/office/drawing/2014/main" id="{9B19735D-21DC-61B0-F403-2158145D26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1075" y="4362450"/>
          <a:ext cx="3305175" cy="2543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8</xdr:row>
      <xdr:rowOff>0</xdr:rowOff>
    </xdr:from>
    <xdr:to>
      <xdr:col>5</xdr:col>
      <xdr:colOff>5715</xdr:colOff>
      <xdr:row>10</xdr:row>
      <xdr:rowOff>5715</xdr:rowOff>
    </xdr:to>
    <xdr:pic>
      <xdr:nvPicPr>
        <xdr:cNvPr id="4" name="Picture 3">
          <a:extLst>
            <a:ext uri="{FF2B5EF4-FFF2-40B4-BE49-F238E27FC236}">
              <a16:creationId xmlns:a16="http://schemas.microsoft.com/office/drawing/2014/main" id="{99D8F830-AA5C-D8AE-87F5-6DCAA1C97C9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81075" y="4362450"/>
          <a:ext cx="3305175" cy="2543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24</xdr:row>
      <xdr:rowOff>0</xdr:rowOff>
    </xdr:from>
    <xdr:to>
      <xdr:col>5</xdr:col>
      <xdr:colOff>5715</xdr:colOff>
      <xdr:row>26</xdr:row>
      <xdr:rowOff>5715</xdr:rowOff>
    </xdr:to>
    <xdr:pic>
      <xdr:nvPicPr>
        <xdr:cNvPr id="7" name="Picture 6">
          <a:extLst>
            <a:ext uri="{FF2B5EF4-FFF2-40B4-BE49-F238E27FC236}">
              <a16:creationId xmlns:a16="http://schemas.microsoft.com/office/drawing/2014/main" id="{36663557-3706-FD69-789F-8DF0AF061E9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81075" y="47625000"/>
          <a:ext cx="3305175" cy="2543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24</xdr:row>
      <xdr:rowOff>0</xdr:rowOff>
    </xdr:from>
    <xdr:to>
      <xdr:col>5</xdr:col>
      <xdr:colOff>5715</xdr:colOff>
      <xdr:row>26</xdr:row>
      <xdr:rowOff>5715</xdr:rowOff>
    </xdr:to>
    <xdr:pic>
      <xdr:nvPicPr>
        <xdr:cNvPr id="8" name="Picture 7">
          <a:extLst>
            <a:ext uri="{FF2B5EF4-FFF2-40B4-BE49-F238E27FC236}">
              <a16:creationId xmlns:a16="http://schemas.microsoft.com/office/drawing/2014/main" id="{8A6CF44F-1685-F864-35FD-16834134EC2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81075" y="47625000"/>
          <a:ext cx="3305175" cy="2543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40</xdr:row>
      <xdr:rowOff>0</xdr:rowOff>
    </xdr:from>
    <xdr:to>
      <xdr:col>5</xdr:col>
      <xdr:colOff>5715</xdr:colOff>
      <xdr:row>42</xdr:row>
      <xdr:rowOff>5715</xdr:rowOff>
    </xdr:to>
    <xdr:pic>
      <xdr:nvPicPr>
        <xdr:cNvPr id="9" name="Picture 8">
          <a:extLst>
            <a:ext uri="{FF2B5EF4-FFF2-40B4-BE49-F238E27FC236}">
              <a16:creationId xmlns:a16="http://schemas.microsoft.com/office/drawing/2014/main" id="{852437FD-6963-3862-8499-87185950242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81075" y="90878025"/>
          <a:ext cx="3305175" cy="2543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40</xdr:row>
      <xdr:rowOff>0</xdr:rowOff>
    </xdr:from>
    <xdr:to>
      <xdr:col>5</xdr:col>
      <xdr:colOff>5715</xdr:colOff>
      <xdr:row>42</xdr:row>
      <xdr:rowOff>5715</xdr:rowOff>
    </xdr:to>
    <xdr:pic>
      <xdr:nvPicPr>
        <xdr:cNvPr id="10" name="Picture 9">
          <a:extLst>
            <a:ext uri="{FF2B5EF4-FFF2-40B4-BE49-F238E27FC236}">
              <a16:creationId xmlns:a16="http://schemas.microsoft.com/office/drawing/2014/main" id="{CCBA8414-1A1B-53A8-4E53-59920E97D44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81075" y="90878025"/>
          <a:ext cx="3305175" cy="2543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2095499</xdr:colOff>
      <xdr:row>3</xdr:row>
      <xdr:rowOff>0</xdr:rowOff>
    </xdr:to>
    <xdr:sp macro="" textlink="">
      <xdr:nvSpPr>
        <xdr:cNvPr id="3" name="Rectangle 2" descr="Tab Link to Table of Contents">
          <a:hlinkClick xmlns:r="http://schemas.openxmlformats.org/officeDocument/2006/relationships" r:id="rId1"/>
          <a:extLst>
            <a:ext uri="{FF2B5EF4-FFF2-40B4-BE49-F238E27FC236}">
              <a16:creationId xmlns:a16="http://schemas.microsoft.com/office/drawing/2014/main" id="{D7EF1F00-32E5-4F61-B740-C19F6FF32C12}"/>
            </a:ext>
          </a:extLst>
        </xdr:cNvPr>
        <xdr:cNvSpPr/>
      </xdr:nvSpPr>
      <xdr:spPr>
        <a:xfrm>
          <a:off x="20152179" y="0"/>
          <a:ext cx="2095499" cy="680357"/>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6805</xdr:colOff>
      <xdr:row>0</xdr:row>
      <xdr:rowOff>0</xdr:rowOff>
    </xdr:from>
    <xdr:to>
      <xdr:col>13</xdr:col>
      <xdr:colOff>0</xdr:colOff>
      <xdr:row>2</xdr:row>
      <xdr:rowOff>435427</xdr:rowOff>
    </xdr:to>
    <xdr:sp macro="" textlink="">
      <xdr:nvSpPr>
        <xdr:cNvPr id="3" name="Rectangle 2" descr="Tab Link to Table of Contents">
          <a:hlinkClick xmlns:r="http://schemas.openxmlformats.org/officeDocument/2006/relationships" r:id="rId1"/>
          <a:extLst>
            <a:ext uri="{FF2B5EF4-FFF2-40B4-BE49-F238E27FC236}">
              <a16:creationId xmlns:a16="http://schemas.microsoft.com/office/drawing/2014/main" id="{6280DF95-A9A7-418E-A177-8189369A0FA3}"/>
            </a:ext>
          </a:extLst>
        </xdr:cNvPr>
        <xdr:cNvSpPr/>
      </xdr:nvSpPr>
      <xdr:spPr>
        <a:xfrm>
          <a:off x="22812376" y="0"/>
          <a:ext cx="1762124" cy="870856"/>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0</xdr:colOff>
      <xdr:row>0</xdr:row>
      <xdr:rowOff>0</xdr:rowOff>
    </xdr:from>
    <xdr:to>
      <xdr:col>19</xdr:col>
      <xdr:colOff>732</xdr:colOff>
      <xdr:row>3</xdr:row>
      <xdr:rowOff>13608</xdr:rowOff>
    </xdr:to>
    <xdr:sp macro="" textlink="">
      <xdr:nvSpPr>
        <xdr:cNvPr id="3" name="Rectangle 2" descr="Tab Link to Table of Contents">
          <a:hlinkClick xmlns:r="http://schemas.openxmlformats.org/officeDocument/2006/relationships" r:id="rId1"/>
          <a:extLst>
            <a:ext uri="{FF2B5EF4-FFF2-40B4-BE49-F238E27FC236}">
              <a16:creationId xmlns:a16="http://schemas.microsoft.com/office/drawing/2014/main" id="{69054B79-3F72-4D3C-918A-36E7E8795A4F}"/>
            </a:ext>
          </a:extLst>
        </xdr:cNvPr>
        <xdr:cNvSpPr/>
      </xdr:nvSpPr>
      <xdr:spPr>
        <a:xfrm>
          <a:off x="23321596" y="0"/>
          <a:ext cx="923924" cy="819570"/>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16</xdr:col>
      <xdr:colOff>0</xdr:colOff>
      <xdr:row>0</xdr:row>
      <xdr:rowOff>0</xdr:rowOff>
    </xdr:from>
    <xdr:to>
      <xdr:col>17</xdr:col>
      <xdr:colOff>3463</xdr:colOff>
      <xdr:row>3</xdr:row>
      <xdr:rowOff>0</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9FBA151B-AC88-493F-95D4-7C2C5F193C09}"/>
            </a:ext>
          </a:extLst>
        </xdr:cNvPr>
        <xdr:cNvSpPr/>
      </xdr:nvSpPr>
      <xdr:spPr>
        <a:xfrm>
          <a:off x="9753600" y="0"/>
          <a:ext cx="613063" cy="571500"/>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twoCellAnchor editAs="oneCell">
    <xdr:from>
      <xdr:col>3</xdr:col>
      <xdr:colOff>0</xdr:colOff>
      <xdr:row>18</xdr:row>
      <xdr:rowOff>0</xdr:rowOff>
    </xdr:from>
    <xdr:to>
      <xdr:col>5</xdr:col>
      <xdr:colOff>11431</xdr:colOff>
      <xdr:row>21</xdr:row>
      <xdr:rowOff>13854</xdr:rowOff>
    </xdr:to>
    <xdr:pic>
      <xdr:nvPicPr>
        <xdr:cNvPr id="9" name="Picture 8">
          <a:extLst>
            <a:ext uri="{FF2B5EF4-FFF2-40B4-BE49-F238E27FC236}">
              <a16:creationId xmlns:a16="http://schemas.microsoft.com/office/drawing/2014/main" id="{4E54434C-6210-2889-3479-A2E2E5BF1C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35980" y="19949160"/>
          <a:ext cx="387858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18</xdr:row>
      <xdr:rowOff>0</xdr:rowOff>
    </xdr:from>
    <xdr:to>
      <xdr:col>13</xdr:col>
      <xdr:colOff>11430</xdr:colOff>
      <xdr:row>21</xdr:row>
      <xdr:rowOff>13854</xdr:rowOff>
    </xdr:to>
    <xdr:pic>
      <xdr:nvPicPr>
        <xdr:cNvPr id="10" name="Picture 9">
          <a:extLst>
            <a:ext uri="{FF2B5EF4-FFF2-40B4-BE49-F238E27FC236}">
              <a16:creationId xmlns:a16="http://schemas.microsoft.com/office/drawing/2014/main" id="{38B00795-C0E0-B1A4-5984-9DB3F8358D8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235660" y="19949160"/>
          <a:ext cx="457200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18</xdr:row>
      <xdr:rowOff>0</xdr:rowOff>
    </xdr:from>
    <xdr:to>
      <xdr:col>13</xdr:col>
      <xdr:colOff>11430</xdr:colOff>
      <xdr:row>21</xdr:row>
      <xdr:rowOff>13854</xdr:rowOff>
    </xdr:to>
    <xdr:pic>
      <xdr:nvPicPr>
        <xdr:cNvPr id="11" name="Picture 10">
          <a:extLst>
            <a:ext uri="{FF2B5EF4-FFF2-40B4-BE49-F238E27FC236}">
              <a16:creationId xmlns:a16="http://schemas.microsoft.com/office/drawing/2014/main" id="{886B383C-2045-4308-7ABA-DFC361E4FBF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235660" y="19949160"/>
          <a:ext cx="457200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0</xdr:colOff>
      <xdr:row>18</xdr:row>
      <xdr:rowOff>0</xdr:rowOff>
    </xdr:from>
    <xdr:to>
      <xdr:col>21</xdr:col>
      <xdr:colOff>11430</xdr:colOff>
      <xdr:row>21</xdr:row>
      <xdr:rowOff>13854</xdr:rowOff>
    </xdr:to>
    <xdr:pic>
      <xdr:nvPicPr>
        <xdr:cNvPr id="12" name="Picture 11">
          <a:extLst>
            <a:ext uri="{FF2B5EF4-FFF2-40B4-BE49-F238E27FC236}">
              <a16:creationId xmlns:a16="http://schemas.microsoft.com/office/drawing/2014/main" id="{1C5A11F3-CC19-03CA-3084-09F3AD9DF10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6542960" y="19949160"/>
          <a:ext cx="367284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0</xdr:colOff>
      <xdr:row>18</xdr:row>
      <xdr:rowOff>0</xdr:rowOff>
    </xdr:from>
    <xdr:to>
      <xdr:col>21</xdr:col>
      <xdr:colOff>11430</xdr:colOff>
      <xdr:row>21</xdr:row>
      <xdr:rowOff>13854</xdr:rowOff>
    </xdr:to>
    <xdr:pic>
      <xdr:nvPicPr>
        <xdr:cNvPr id="13" name="Picture 12">
          <a:extLst>
            <a:ext uri="{FF2B5EF4-FFF2-40B4-BE49-F238E27FC236}">
              <a16:creationId xmlns:a16="http://schemas.microsoft.com/office/drawing/2014/main" id="{EE9E0DB5-9643-1EAD-A2E5-DBD9305D00E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6542960" y="19949160"/>
          <a:ext cx="367284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0</xdr:colOff>
      <xdr:row>29</xdr:row>
      <xdr:rowOff>0</xdr:rowOff>
    </xdr:from>
    <xdr:to>
      <xdr:col>21</xdr:col>
      <xdr:colOff>11430</xdr:colOff>
      <xdr:row>32</xdr:row>
      <xdr:rowOff>11431</xdr:rowOff>
    </xdr:to>
    <xdr:pic>
      <xdr:nvPicPr>
        <xdr:cNvPr id="14" name="Picture 13">
          <a:extLst>
            <a:ext uri="{FF2B5EF4-FFF2-40B4-BE49-F238E27FC236}">
              <a16:creationId xmlns:a16="http://schemas.microsoft.com/office/drawing/2014/main" id="{23ECC46C-1B6C-B50F-4AE6-9289C76522C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6542960" y="34587180"/>
          <a:ext cx="367284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0</xdr:colOff>
      <xdr:row>29</xdr:row>
      <xdr:rowOff>0</xdr:rowOff>
    </xdr:from>
    <xdr:to>
      <xdr:col>21</xdr:col>
      <xdr:colOff>11430</xdr:colOff>
      <xdr:row>32</xdr:row>
      <xdr:rowOff>11431</xdr:rowOff>
    </xdr:to>
    <xdr:pic>
      <xdr:nvPicPr>
        <xdr:cNvPr id="15" name="Picture 14">
          <a:extLst>
            <a:ext uri="{FF2B5EF4-FFF2-40B4-BE49-F238E27FC236}">
              <a16:creationId xmlns:a16="http://schemas.microsoft.com/office/drawing/2014/main" id="{732FB291-C45D-B2A2-20B7-859BE5CB65CD}"/>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542960" y="34587180"/>
          <a:ext cx="367284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29</xdr:row>
      <xdr:rowOff>0</xdr:rowOff>
    </xdr:from>
    <xdr:to>
      <xdr:col>13</xdr:col>
      <xdr:colOff>11430</xdr:colOff>
      <xdr:row>32</xdr:row>
      <xdr:rowOff>11431</xdr:rowOff>
    </xdr:to>
    <xdr:pic>
      <xdr:nvPicPr>
        <xdr:cNvPr id="17" name="Picture 16">
          <a:extLst>
            <a:ext uri="{FF2B5EF4-FFF2-40B4-BE49-F238E27FC236}">
              <a16:creationId xmlns:a16="http://schemas.microsoft.com/office/drawing/2014/main" id="{78982B6B-5AD2-FCB2-EB2A-0E40230DA795}"/>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235660" y="34587180"/>
          <a:ext cx="457200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29</xdr:row>
      <xdr:rowOff>0</xdr:rowOff>
    </xdr:from>
    <xdr:to>
      <xdr:col>5</xdr:col>
      <xdr:colOff>11431</xdr:colOff>
      <xdr:row>32</xdr:row>
      <xdr:rowOff>11431</xdr:rowOff>
    </xdr:to>
    <xdr:pic>
      <xdr:nvPicPr>
        <xdr:cNvPr id="18" name="Picture 17">
          <a:extLst>
            <a:ext uri="{FF2B5EF4-FFF2-40B4-BE49-F238E27FC236}">
              <a16:creationId xmlns:a16="http://schemas.microsoft.com/office/drawing/2014/main" id="{E9AB15EA-54F2-A5CB-6B0A-E07BFE387881}"/>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5935980" y="34587180"/>
          <a:ext cx="387858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29</xdr:row>
      <xdr:rowOff>0</xdr:rowOff>
    </xdr:from>
    <xdr:to>
      <xdr:col>5</xdr:col>
      <xdr:colOff>11431</xdr:colOff>
      <xdr:row>32</xdr:row>
      <xdr:rowOff>11431</xdr:rowOff>
    </xdr:to>
    <xdr:pic>
      <xdr:nvPicPr>
        <xdr:cNvPr id="19" name="Picture 18">
          <a:extLst>
            <a:ext uri="{FF2B5EF4-FFF2-40B4-BE49-F238E27FC236}">
              <a16:creationId xmlns:a16="http://schemas.microsoft.com/office/drawing/2014/main" id="{EFFF5C4E-1047-D8E6-F8B2-ED51EB09B06C}"/>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5935980" y="34587180"/>
          <a:ext cx="3878580" cy="2301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xdr:row>
      <xdr:rowOff>0</xdr:rowOff>
    </xdr:from>
    <xdr:to>
      <xdr:col>5</xdr:col>
      <xdr:colOff>9526</xdr:colOff>
      <xdr:row>9</xdr:row>
      <xdr:rowOff>9525</xdr:rowOff>
    </xdr:to>
    <xdr:pic>
      <xdr:nvPicPr>
        <xdr:cNvPr id="21" name="Picture 20">
          <a:extLst>
            <a:ext uri="{FF2B5EF4-FFF2-40B4-BE49-F238E27FC236}">
              <a16:creationId xmlns:a16="http://schemas.microsoft.com/office/drawing/2014/main" id="{36DFCFC6-21C4-4300-5DFA-A4D9A5B69692}"/>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5772150" y="4819650"/>
          <a:ext cx="3771900" cy="2733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6</xdr:row>
      <xdr:rowOff>0</xdr:rowOff>
    </xdr:from>
    <xdr:to>
      <xdr:col>13</xdr:col>
      <xdr:colOff>9525</xdr:colOff>
      <xdr:row>9</xdr:row>
      <xdr:rowOff>9525</xdr:rowOff>
    </xdr:to>
    <xdr:pic>
      <xdr:nvPicPr>
        <xdr:cNvPr id="23" name="Picture 22">
          <a:extLst>
            <a:ext uri="{FF2B5EF4-FFF2-40B4-BE49-F238E27FC236}">
              <a16:creationId xmlns:a16="http://schemas.microsoft.com/office/drawing/2014/main" id="{9F8C0660-34C9-A1C0-1BBC-2DC3EE0FA936}"/>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5488900" y="4819650"/>
          <a:ext cx="4438650" cy="2733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0</xdr:colOff>
      <xdr:row>6</xdr:row>
      <xdr:rowOff>0</xdr:rowOff>
    </xdr:from>
    <xdr:to>
      <xdr:col>21</xdr:col>
      <xdr:colOff>9525</xdr:colOff>
      <xdr:row>9</xdr:row>
      <xdr:rowOff>9525</xdr:rowOff>
    </xdr:to>
    <xdr:pic>
      <xdr:nvPicPr>
        <xdr:cNvPr id="25" name="Picture 24">
          <a:extLst>
            <a:ext uri="{FF2B5EF4-FFF2-40B4-BE49-F238E27FC236}">
              <a16:creationId xmlns:a16="http://schemas.microsoft.com/office/drawing/2014/main" id="{5DE0E8C4-64D6-69E2-B070-0C2D11BB9F15}"/>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45205650" y="4819650"/>
          <a:ext cx="3571875" cy="2733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11</xdr:row>
      <xdr:rowOff>0</xdr:rowOff>
    </xdr:from>
    <xdr:to>
      <xdr:col>8</xdr:col>
      <xdr:colOff>476250</xdr:colOff>
      <xdr:row>11</xdr:row>
      <xdr:rowOff>9525</xdr:rowOff>
    </xdr:to>
    <xdr:grpSp>
      <xdr:nvGrpSpPr>
        <xdr:cNvPr id="14337" name="Group 1">
          <a:extLst>
            <a:ext uri="{FF2B5EF4-FFF2-40B4-BE49-F238E27FC236}">
              <a16:creationId xmlns:a16="http://schemas.microsoft.com/office/drawing/2014/main" id="{9AF11767-63FC-25B0-258A-C07B5DC96060}"/>
            </a:ext>
          </a:extLst>
        </xdr:cNvPr>
        <xdr:cNvGrpSpPr>
          <a:grpSpLocks/>
        </xdr:cNvGrpSpPr>
      </xdr:nvGrpSpPr>
      <xdr:grpSpPr bwMode="auto">
        <a:xfrm>
          <a:off x="0" y="6477000"/>
          <a:ext cx="13105279" cy="9525"/>
          <a:chOff x="0" y="0"/>
          <a:chExt cx="8424" cy="10"/>
        </a:xfrm>
      </xdr:grpSpPr>
      <xdr:sp macro="" textlink="">
        <xdr:nvSpPr>
          <xdr:cNvPr id="14342" name="Line 6">
            <a:extLst>
              <a:ext uri="{FF2B5EF4-FFF2-40B4-BE49-F238E27FC236}">
                <a16:creationId xmlns:a16="http://schemas.microsoft.com/office/drawing/2014/main" id="{547768AB-2B3C-684C-3135-8FDDB90059CD}"/>
              </a:ext>
            </a:extLst>
          </xdr:cNvPr>
          <xdr:cNvSpPr>
            <a:spLocks noChangeShapeType="1"/>
          </xdr:cNvSpPr>
        </xdr:nvSpPr>
        <xdr:spPr bwMode="auto">
          <a:xfrm>
            <a:off x="0" y="5"/>
            <a:ext cx="665" cy="0"/>
          </a:xfrm>
          <a:prstGeom prst="line">
            <a:avLst/>
          </a:prstGeom>
          <a:noFill/>
          <a:ln w="6096">
            <a:solidFill>
              <a:srgbClr val="BEBEBE"/>
            </a:solidFill>
            <a:prstDash val="sysDot"/>
            <a:round/>
            <a:headEnd/>
            <a:tailEnd/>
          </a:ln>
          <a:extLst>
            <a:ext uri="{909E8E84-426E-40DD-AFC4-6F175D3DCCD1}">
              <a14:hiddenFill xmlns:a14="http://schemas.microsoft.com/office/drawing/2010/main">
                <a:noFill/>
              </a14:hiddenFill>
            </a:ext>
          </a:extLst>
        </xdr:spPr>
      </xdr:sp>
      <xdr:sp macro="" textlink="">
        <xdr:nvSpPr>
          <xdr:cNvPr id="14341" name="Line 5">
            <a:extLst>
              <a:ext uri="{FF2B5EF4-FFF2-40B4-BE49-F238E27FC236}">
                <a16:creationId xmlns:a16="http://schemas.microsoft.com/office/drawing/2014/main" id="{10088E13-9F3C-19A0-F24C-22071DB26932}"/>
              </a:ext>
            </a:extLst>
          </xdr:cNvPr>
          <xdr:cNvSpPr>
            <a:spLocks noChangeShapeType="1"/>
          </xdr:cNvSpPr>
        </xdr:nvSpPr>
        <xdr:spPr bwMode="auto">
          <a:xfrm>
            <a:off x="665" y="5"/>
            <a:ext cx="9" cy="0"/>
          </a:xfrm>
          <a:prstGeom prst="line">
            <a:avLst/>
          </a:prstGeom>
          <a:noFill/>
          <a:ln w="6096">
            <a:solidFill>
              <a:srgbClr val="BEBEBE"/>
            </a:solidFill>
            <a:prstDash val="sysDot"/>
            <a:round/>
            <a:headEnd/>
            <a:tailEnd/>
          </a:ln>
          <a:extLst>
            <a:ext uri="{909E8E84-426E-40DD-AFC4-6F175D3DCCD1}">
              <a14:hiddenFill xmlns:a14="http://schemas.microsoft.com/office/drawing/2010/main">
                <a:noFill/>
              </a14:hiddenFill>
            </a:ext>
          </a:extLst>
        </xdr:spPr>
      </xdr:sp>
      <xdr:sp macro="" textlink="">
        <xdr:nvSpPr>
          <xdr:cNvPr id="14340" name="Line 4">
            <a:extLst>
              <a:ext uri="{FF2B5EF4-FFF2-40B4-BE49-F238E27FC236}">
                <a16:creationId xmlns:a16="http://schemas.microsoft.com/office/drawing/2014/main" id="{31C57B3B-A82D-AC83-EB73-5FB6EF69BCEC}"/>
              </a:ext>
            </a:extLst>
          </xdr:cNvPr>
          <xdr:cNvSpPr>
            <a:spLocks noChangeShapeType="1"/>
          </xdr:cNvSpPr>
        </xdr:nvSpPr>
        <xdr:spPr bwMode="auto">
          <a:xfrm>
            <a:off x="674" y="5"/>
            <a:ext cx="3858" cy="0"/>
          </a:xfrm>
          <a:prstGeom prst="line">
            <a:avLst/>
          </a:prstGeom>
          <a:noFill/>
          <a:ln w="6096">
            <a:solidFill>
              <a:srgbClr val="BEBEBE"/>
            </a:solidFill>
            <a:prstDash val="sysDot"/>
            <a:round/>
            <a:headEnd/>
            <a:tailEnd/>
          </a:ln>
          <a:extLst>
            <a:ext uri="{909E8E84-426E-40DD-AFC4-6F175D3DCCD1}">
              <a14:hiddenFill xmlns:a14="http://schemas.microsoft.com/office/drawing/2010/main">
                <a:noFill/>
              </a14:hiddenFill>
            </a:ext>
          </a:extLst>
        </xdr:spPr>
      </xdr:sp>
      <xdr:sp macro="" textlink="">
        <xdr:nvSpPr>
          <xdr:cNvPr id="14339" name="Line 3">
            <a:extLst>
              <a:ext uri="{FF2B5EF4-FFF2-40B4-BE49-F238E27FC236}">
                <a16:creationId xmlns:a16="http://schemas.microsoft.com/office/drawing/2014/main" id="{A6B26B96-1DF6-7C35-CF84-5D5C2ACABE52}"/>
              </a:ext>
            </a:extLst>
          </xdr:cNvPr>
          <xdr:cNvSpPr>
            <a:spLocks noChangeShapeType="1"/>
          </xdr:cNvSpPr>
        </xdr:nvSpPr>
        <xdr:spPr bwMode="auto">
          <a:xfrm>
            <a:off x="4532" y="5"/>
            <a:ext cx="10" cy="0"/>
          </a:xfrm>
          <a:prstGeom prst="line">
            <a:avLst/>
          </a:prstGeom>
          <a:noFill/>
          <a:ln w="6096">
            <a:solidFill>
              <a:srgbClr val="BEBEBE"/>
            </a:solidFill>
            <a:prstDash val="sysDot"/>
            <a:round/>
            <a:headEnd/>
            <a:tailEnd/>
          </a:ln>
          <a:extLst>
            <a:ext uri="{909E8E84-426E-40DD-AFC4-6F175D3DCCD1}">
              <a14:hiddenFill xmlns:a14="http://schemas.microsoft.com/office/drawing/2010/main">
                <a:noFill/>
              </a14:hiddenFill>
            </a:ext>
          </a:extLst>
        </xdr:spPr>
      </xdr:sp>
      <xdr:sp macro="" textlink="">
        <xdr:nvSpPr>
          <xdr:cNvPr id="14338" name="Line 2">
            <a:extLst>
              <a:ext uri="{FF2B5EF4-FFF2-40B4-BE49-F238E27FC236}">
                <a16:creationId xmlns:a16="http://schemas.microsoft.com/office/drawing/2014/main" id="{983B680A-E080-F2FE-BF26-F43FFCB8DBD9}"/>
              </a:ext>
            </a:extLst>
          </xdr:cNvPr>
          <xdr:cNvSpPr>
            <a:spLocks noChangeShapeType="1"/>
          </xdr:cNvSpPr>
        </xdr:nvSpPr>
        <xdr:spPr bwMode="auto">
          <a:xfrm>
            <a:off x="4542" y="5"/>
            <a:ext cx="3882" cy="0"/>
          </a:xfrm>
          <a:prstGeom prst="line">
            <a:avLst/>
          </a:prstGeom>
          <a:noFill/>
          <a:ln w="6096">
            <a:solidFill>
              <a:srgbClr val="BEBEBE"/>
            </a:solidFill>
            <a:prstDash val="sysDot"/>
            <a:round/>
            <a:headEnd/>
            <a:tailEnd/>
          </a:ln>
          <a:extLst>
            <a:ext uri="{909E8E84-426E-40DD-AFC4-6F175D3DCCD1}">
              <a14:hiddenFill xmlns:a14="http://schemas.microsoft.com/office/drawing/2010/main">
                <a:noFill/>
              </a14:hiddenFill>
            </a:ext>
          </a:extLst>
        </xdr:spPr>
      </xdr:sp>
    </xdr:grpSp>
    <xdr:clientData/>
  </xdr:twoCellAnchor>
  <xdr:twoCellAnchor>
    <xdr:from>
      <xdr:col>16</xdr:col>
      <xdr:colOff>0</xdr:colOff>
      <xdr:row>0</xdr:row>
      <xdr:rowOff>0</xdr:rowOff>
    </xdr:from>
    <xdr:to>
      <xdr:col>17</xdr:col>
      <xdr:colOff>3463</xdr:colOff>
      <xdr:row>3</xdr:row>
      <xdr:rowOff>0</xdr:rowOff>
    </xdr:to>
    <xdr:sp macro="" textlink="">
      <xdr:nvSpPr>
        <xdr:cNvPr id="4" name="Rectangle 3" descr="Tab Link to Table of Contents">
          <a:hlinkClick xmlns:r="http://schemas.openxmlformats.org/officeDocument/2006/relationships" r:id="rId1"/>
          <a:extLst>
            <a:ext uri="{FF2B5EF4-FFF2-40B4-BE49-F238E27FC236}">
              <a16:creationId xmlns:a16="http://schemas.microsoft.com/office/drawing/2014/main" id="{5697416C-7EFF-4A41-942B-EBE633C48ED2}"/>
            </a:ext>
          </a:extLst>
        </xdr:cNvPr>
        <xdr:cNvSpPr/>
      </xdr:nvSpPr>
      <xdr:spPr>
        <a:xfrm>
          <a:off x="29765625" y="0"/>
          <a:ext cx="1946563" cy="1847850"/>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twoCellAnchor editAs="oneCell">
    <xdr:from>
      <xdr:col>5</xdr:col>
      <xdr:colOff>0</xdr:colOff>
      <xdr:row>10</xdr:row>
      <xdr:rowOff>0</xdr:rowOff>
    </xdr:from>
    <xdr:to>
      <xdr:col>6</xdr:col>
      <xdr:colOff>26670</xdr:colOff>
      <xdr:row>11</xdr:row>
      <xdr:rowOff>26670</xdr:rowOff>
    </xdr:to>
    <xdr:pic>
      <xdr:nvPicPr>
        <xdr:cNvPr id="6" name="Picture 5">
          <a:extLst>
            <a:ext uri="{FF2B5EF4-FFF2-40B4-BE49-F238E27FC236}">
              <a16:creationId xmlns:a16="http://schemas.microsoft.com/office/drawing/2014/main" id="{9249E33E-804C-E178-FECE-33604FB58B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34225" y="5219700"/>
          <a:ext cx="1943100" cy="1133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0</xdr:colOff>
      <xdr:row>0</xdr:row>
      <xdr:rowOff>0</xdr:rowOff>
    </xdr:from>
    <xdr:to>
      <xdr:col>12</xdr:col>
      <xdr:colOff>3463</xdr:colOff>
      <xdr:row>3</xdr:row>
      <xdr:rowOff>0</xdr:rowOff>
    </xdr:to>
    <xdr:sp macro="" textlink="">
      <xdr:nvSpPr>
        <xdr:cNvPr id="4" name="Rectangle 3" descr="Tab Link to Table of Contents">
          <a:hlinkClick xmlns:r="http://schemas.openxmlformats.org/officeDocument/2006/relationships" r:id="rId1"/>
          <a:extLst>
            <a:ext uri="{FF2B5EF4-FFF2-40B4-BE49-F238E27FC236}">
              <a16:creationId xmlns:a16="http://schemas.microsoft.com/office/drawing/2014/main" id="{74220F7C-77AA-4377-A684-77013844BAD2}"/>
            </a:ext>
          </a:extLst>
        </xdr:cNvPr>
        <xdr:cNvSpPr/>
      </xdr:nvSpPr>
      <xdr:spPr>
        <a:xfrm>
          <a:off x="29765625" y="0"/>
          <a:ext cx="1946563" cy="1847850"/>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twoCellAnchor editAs="oneCell">
    <xdr:from>
      <xdr:col>4</xdr:col>
      <xdr:colOff>0</xdr:colOff>
      <xdr:row>8</xdr:row>
      <xdr:rowOff>0</xdr:rowOff>
    </xdr:from>
    <xdr:to>
      <xdr:col>5</xdr:col>
      <xdr:colOff>9525</xdr:colOff>
      <xdr:row>9</xdr:row>
      <xdr:rowOff>9526</xdr:rowOff>
    </xdr:to>
    <xdr:pic>
      <xdr:nvPicPr>
        <xdr:cNvPr id="2" name="Picture 1">
          <a:extLst>
            <a:ext uri="{FF2B5EF4-FFF2-40B4-BE49-F238E27FC236}">
              <a16:creationId xmlns:a16="http://schemas.microsoft.com/office/drawing/2014/main" id="{5FDBCAB0-15F6-1DB4-1213-F44320B6B7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24875" y="5753100"/>
          <a:ext cx="2581275" cy="1676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233083</xdr:colOff>
      <xdr:row>7</xdr:row>
      <xdr:rowOff>0</xdr:rowOff>
    </xdr:from>
    <xdr:to>
      <xdr:col>7</xdr:col>
      <xdr:colOff>0</xdr:colOff>
      <xdr:row>7</xdr:row>
      <xdr:rowOff>625475</xdr:rowOff>
    </xdr:to>
    <xdr:sp macro="" textlink="">
      <xdr:nvSpPr>
        <xdr:cNvPr id="2" name="Rectangle 1" descr="Tab Link to Methodology">
          <a:hlinkClick xmlns:r="http://schemas.openxmlformats.org/officeDocument/2006/relationships" r:id="rId1"/>
          <a:extLst>
            <a:ext uri="{FF2B5EF4-FFF2-40B4-BE49-F238E27FC236}">
              <a16:creationId xmlns:a16="http://schemas.microsoft.com/office/drawing/2014/main" id="{52FAE27F-98B3-433B-AD81-E94DA31C1F0E}"/>
            </a:ext>
          </a:extLst>
        </xdr:cNvPr>
        <xdr:cNvSpPr/>
      </xdr:nvSpPr>
      <xdr:spPr>
        <a:xfrm>
          <a:off x="11338112" y="1423147"/>
          <a:ext cx="1066800" cy="625475"/>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latin typeface="Times New Roman" panose="02020603050405020304" pitchFamily="18" charset="0"/>
              <a:cs typeface="Times New Roman" panose="02020603050405020304" pitchFamily="18" charset="0"/>
            </a:rPr>
            <a:t>Go</a:t>
          </a:r>
          <a:r>
            <a:rPr lang="en-US" sz="1400" baseline="0">
              <a:solidFill>
                <a:sysClr val="windowText" lastClr="000000"/>
              </a:solidFill>
              <a:latin typeface="Times New Roman" panose="02020603050405020304" pitchFamily="18" charset="0"/>
              <a:cs typeface="Times New Roman" panose="02020603050405020304" pitchFamily="18" charset="0"/>
            </a:rPr>
            <a:t> to tab</a:t>
          </a:r>
          <a:endParaRPr 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220383</xdr:colOff>
      <xdr:row>19</xdr:row>
      <xdr:rowOff>0</xdr:rowOff>
    </xdr:from>
    <xdr:to>
      <xdr:col>7</xdr:col>
      <xdr:colOff>0</xdr:colOff>
      <xdr:row>19</xdr:row>
      <xdr:rowOff>683078</xdr:rowOff>
    </xdr:to>
    <xdr:sp macro="" textlink="">
      <xdr:nvSpPr>
        <xdr:cNvPr id="4" name="Rectangle 3" descr="Tab Link to Space Heating Costs">
          <a:hlinkClick xmlns:r="http://schemas.openxmlformats.org/officeDocument/2006/relationships" r:id="rId2"/>
          <a:extLst>
            <a:ext uri="{FF2B5EF4-FFF2-40B4-BE49-F238E27FC236}">
              <a16:creationId xmlns:a16="http://schemas.microsoft.com/office/drawing/2014/main" id="{AB7BC49D-616A-4CF0-B12B-14B69C539BBF}"/>
            </a:ext>
          </a:extLst>
        </xdr:cNvPr>
        <xdr:cNvSpPr/>
      </xdr:nvSpPr>
      <xdr:spPr>
        <a:xfrm>
          <a:off x="11325412" y="20159382"/>
          <a:ext cx="1079500" cy="683078"/>
        </a:xfrm>
        <a:prstGeom prst="rect">
          <a:avLst/>
        </a:prstGeom>
        <a:solidFill>
          <a:srgbClr val="F46F3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latin typeface="Times New Roman" panose="02020603050405020304" pitchFamily="18" charset="0"/>
              <a:cs typeface="Times New Roman" panose="02020603050405020304" pitchFamily="18" charset="0"/>
            </a:rPr>
            <a:t>Go</a:t>
          </a:r>
          <a:r>
            <a:rPr lang="en-US" sz="1400" baseline="0">
              <a:solidFill>
                <a:sysClr val="windowText" lastClr="000000"/>
              </a:solidFill>
              <a:latin typeface="Times New Roman" panose="02020603050405020304" pitchFamily="18" charset="0"/>
              <a:cs typeface="Times New Roman" panose="02020603050405020304" pitchFamily="18" charset="0"/>
            </a:rPr>
            <a:t> to tab</a:t>
          </a:r>
          <a:endParaRPr 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223558</xdr:colOff>
      <xdr:row>20</xdr:row>
      <xdr:rowOff>0</xdr:rowOff>
    </xdr:from>
    <xdr:to>
      <xdr:col>7</xdr:col>
      <xdr:colOff>0</xdr:colOff>
      <xdr:row>20</xdr:row>
      <xdr:rowOff>631373</xdr:rowOff>
    </xdr:to>
    <xdr:sp macro="" textlink="">
      <xdr:nvSpPr>
        <xdr:cNvPr id="5" name="Rectangle 4" descr="Tab Link to Space Heating Detailed Costs">
          <a:hlinkClick xmlns:r="http://schemas.openxmlformats.org/officeDocument/2006/relationships" r:id="rId3"/>
          <a:extLst>
            <a:ext uri="{FF2B5EF4-FFF2-40B4-BE49-F238E27FC236}">
              <a16:creationId xmlns:a16="http://schemas.microsoft.com/office/drawing/2014/main" id="{82A47B5C-63B9-4E1B-9C89-461022A3FC99}"/>
            </a:ext>
          </a:extLst>
        </xdr:cNvPr>
        <xdr:cNvSpPr/>
      </xdr:nvSpPr>
      <xdr:spPr>
        <a:xfrm>
          <a:off x="11328587" y="21044647"/>
          <a:ext cx="1076325" cy="631373"/>
        </a:xfrm>
        <a:prstGeom prst="rect">
          <a:avLst/>
        </a:prstGeom>
        <a:solidFill>
          <a:srgbClr val="F46F3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tx1"/>
              </a:solidFill>
              <a:latin typeface="Times New Roman" panose="02020603050405020304" pitchFamily="18" charset="0"/>
              <a:cs typeface="Times New Roman" panose="02020603050405020304" pitchFamily="18" charset="0"/>
            </a:rPr>
            <a:t>Go</a:t>
          </a:r>
          <a:r>
            <a:rPr lang="en-US" sz="1400" baseline="0">
              <a:solidFill>
                <a:schemeClr val="tx1"/>
              </a:solidFill>
              <a:latin typeface="Times New Roman" panose="02020603050405020304" pitchFamily="18" charset="0"/>
              <a:cs typeface="Times New Roman" panose="02020603050405020304" pitchFamily="18" charset="0"/>
            </a:rPr>
            <a:t> to tab</a:t>
          </a:r>
          <a:endParaRPr lang="en-US" sz="140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21</xdr:row>
      <xdr:rowOff>0</xdr:rowOff>
    </xdr:from>
    <xdr:to>
      <xdr:col>7</xdr:col>
      <xdr:colOff>0</xdr:colOff>
      <xdr:row>21</xdr:row>
      <xdr:rowOff>622300</xdr:rowOff>
    </xdr:to>
    <xdr:sp macro="" textlink="">
      <xdr:nvSpPr>
        <xdr:cNvPr id="6" name="Rectangle 5" descr="Tab Link to Space Heating Demo and Permit">
          <a:hlinkClick xmlns:r="http://schemas.openxmlformats.org/officeDocument/2006/relationships" r:id="rId4"/>
          <a:extLst>
            <a:ext uri="{FF2B5EF4-FFF2-40B4-BE49-F238E27FC236}">
              <a16:creationId xmlns:a16="http://schemas.microsoft.com/office/drawing/2014/main" id="{3FDC5092-1384-4EE9-80EB-CF3F0E410825}"/>
            </a:ext>
          </a:extLst>
        </xdr:cNvPr>
        <xdr:cNvSpPr/>
      </xdr:nvSpPr>
      <xdr:spPr>
        <a:xfrm>
          <a:off x="11338112" y="21929912"/>
          <a:ext cx="1066800" cy="622300"/>
        </a:xfrm>
        <a:prstGeom prst="rect">
          <a:avLst/>
        </a:prstGeom>
        <a:solidFill>
          <a:srgbClr val="F46F3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tx1"/>
              </a:solidFill>
              <a:latin typeface="Times New Roman" panose="02020603050405020304" pitchFamily="18" charset="0"/>
              <a:cs typeface="Times New Roman" panose="02020603050405020304" pitchFamily="18" charset="0"/>
            </a:rPr>
            <a:t>Go</a:t>
          </a:r>
          <a:r>
            <a:rPr lang="en-US" sz="1400" baseline="0">
              <a:solidFill>
                <a:schemeClr val="tx1"/>
              </a:solidFill>
              <a:latin typeface="Times New Roman" panose="02020603050405020304" pitchFamily="18" charset="0"/>
              <a:cs typeface="Times New Roman" panose="02020603050405020304" pitchFamily="18" charset="0"/>
            </a:rPr>
            <a:t> to tab</a:t>
          </a:r>
          <a:endParaRPr lang="en-US" sz="140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18</xdr:row>
      <xdr:rowOff>0</xdr:rowOff>
    </xdr:from>
    <xdr:to>
      <xdr:col>7</xdr:col>
      <xdr:colOff>0</xdr:colOff>
      <xdr:row>18</xdr:row>
      <xdr:rowOff>625475</xdr:rowOff>
    </xdr:to>
    <xdr:sp macro="" textlink="">
      <xdr:nvSpPr>
        <xdr:cNvPr id="7" name="Rectangle 6" descr="Tab Link to Space Heating Subcomponents">
          <a:hlinkClick xmlns:r="http://schemas.openxmlformats.org/officeDocument/2006/relationships" r:id="rId5"/>
          <a:extLst>
            <a:ext uri="{FF2B5EF4-FFF2-40B4-BE49-F238E27FC236}">
              <a16:creationId xmlns:a16="http://schemas.microsoft.com/office/drawing/2014/main" id="{1AA88AE4-40C7-4EF7-9AB0-CF46DC7F15C9}"/>
            </a:ext>
          </a:extLst>
        </xdr:cNvPr>
        <xdr:cNvSpPr/>
      </xdr:nvSpPr>
      <xdr:spPr>
        <a:xfrm>
          <a:off x="11338112" y="18680206"/>
          <a:ext cx="1066800" cy="625475"/>
        </a:xfrm>
        <a:prstGeom prst="rect">
          <a:avLst/>
        </a:prstGeom>
        <a:solidFill>
          <a:srgbClr val="F46F3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latin typeface="Times New Roman" panose="02020603050405020304" pitchFamily="18" charset="0"/>
              <a:cs typeface="Times New Roman" panose="02020603050405020304" pitchFamily="18" charset="0"/>
            </a:rPr>
            <a:t>Go</a:t>
          </a:r>
          <a:r>
            <a:rPr lang="en-US" sz="1400" baseline="0">
              <a:solidFill>
                <a:sysClr val="windowText" lastClr="000000"/>
              </a:solidFill>
              <a:latin typeface="Times New Roman" panose="02020603050405020304" pitchFamily="18" charset="0"/>
              <a:cs typeface="Times New Roman" panose="02020603050405020304" pitchFamily="18" charset="0"/>
            </a:rPr>
            <a:t> to tab</a:t>
          </a:r>
          <a:endParaRPr 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24</xdr:row>
      <xdr:rowOff>0</xdr:rowOff>
    </xdr:from>
    <xdr:to>
      <xdr:col>7</xdr:col>
      <xdr:colOff>0</xdr:colOff>
      <xdr:row>24</xdr:row>
      <xdr:rowOff>625475</xdr:rowOff>
    </xdr:to>
    <xdr:sp macro="" textlink="">
      <xdr:nvSpPr>
        <xdr:cNvPr id="8" name="Rectangle 7" descr="Tab Link to Clothes Dryers Costs">
          <a:hlinkClick xmlns:r="http://schemas.openxmlformats.org/officeDocument/2006/relationships" r:id="rId6"/>
          <a:extLst>
            <a:ext uri="{FF2B5EF4-FFF2-40B4-BE49-F238E27FC236}">
              <a16:creationId xmlns:a16="http://schemas.microsoft.com/office/drawing/2014/main" id="{DD387202-4B2F-4B96-ACD6-01DCE6A69F01}"/>
            </a:ext>
          </a:extLst>
        </xdr:cNvPr>
        <xdr:cNvSpPr/>
      </xdr:nvSpPr>
      <xdr:spPr>
        <a:xfrm>
          <a:off x="11338112" y="24294353"/>
          <a:ext cx="1066800" cy="625475"/>
        </a:xfrm>
        <a:prstGeom prst="rect">
          <a:avLst/>
        </a:prstGeom>
        <a:solidFill>
          <a:schemeClr val="accent5">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latin typeface="Times New Roman" panose="02020603050405020304" pitchFamily="18" charset="0"/>
              <a:cs typeface="Times New Roman" panose="02020603050405020304" pitchFamily="18" charset="0"/>
            </a:rPr>
            <a:t>Go</a:t>
          </a:r>
          <a:r>
            <a:rPr lang="en-US" sz="1400" baseline="0">
              <a:solidFill>
                <a:sysClr val="windowText" lastClr="000000"/>
              </a:solidFill>
              <a:latin typeface="Times New Roman" panose="02020603050405020304" pitchFamily="18" charset="0"/>
              <a:cs typeface="Times New Roman" panose="02020603050405020304" pitchFamily="18" charset="0"/>
            </a:rPr>
            <a:t> to tab</a:t>
          </a:r>
          <a:endParaRPr 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22</xdr:row>
      <xdr:rowOff>1624852</xdr:rowOff>
    </xdr:from>
    <xdr:to>
      <xdr:col>7</xdr:col>
      <xdr:colOff>0</xdr:colOff>
      <xdr:row>23</xdr:row>
      <xdr:rowOff>627528</xdr:rowOff>
    </xdr:to>
    <xdr:sp macro="" textlink="">
      <xdr:nvSpPr>
        <xdr:cNvPr id="9" name="Rectangle 8" descr="Tab Link to Cooking Stoves Costs">
          <a:hlinkClick xmlns:r="http://schemas.openxmlformats.org/officeDocument/2006/relationships" r:id="rId7"/>
          <a:extLst>
            <a:ext uri="{FF2B5EF4-FFF2-40B4-BE49-F238E27FC236}">
              <a16:creationId xmlns:a16="http://schemas.microsoft.com/office/drawing/2014/main" id="{43B5F7A4-6D3B-4787-BC84-8B8EA68649ED}"/>
            </a:ext>
          </a:extLst>
        </xdr:cNvPr>
        <xdr:cNvSpPr/>
      </xdr:nvSpPr>
      <xdr:spPr>
        <a:xfrm>
          <a:off x="11338112" y="25919205"/>
          <a:ext cx="1066800" cy="627529"/>
        </a:xfrm>
        <a:prstGeom prst="rect">
          <a:avLst/>
        </a:prstGeom>
        <a:solidFill>
          <a:schemeClr val="accent2">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latin typeface="Times New Roman" panose="02020603050405020304" pitchFamily="18" charset="0"/>
              <a:cs typeface="Times New Roman" panose="02020603050405020304" pitchFamily="18" charset="0"/>
            </a:rPr>
            <a:t>Go</a:t>
          </a:r>
          <a:r>
            <a:rPr lang="en-US" sz="1400" baseline="0">
              <a:solidFill>
                <a:sysClr val="windowText" lastClr="000000"/>
              </a:solidFill>
              <a:latin typeface="Times New Roman" panose="02020603050405020304" pitchFamily="18" charset="0"/>
              <a:cs typeface="Times New Roman" panose="02020603050405020304" pitchFamily="18" charset="0"/>
            </a:rPr>
            <a:t> to tab</a:t>
          </a:r>
          <a:endParaRPr 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25</xdr:row>
      <xdr:rowOff>0</xdr:rowOff>
    </xdr:from>
    <xdr:to>
      <xdr:col>7</xdr:col>
      <xdr:colOff>0</xdr:colOff>
      <xdr:row>25</xdr:row>
      <xdr:rowOff>683559</xdr:rowOff>
    </xdr:to>
    <xdr:sp macro="" textlink="">
      <xdr:nvSpPr>
        <xdr:cNvPr id="10" name="Rectangle 9" descr="Tab Link to General Wages">
          <a:hlinkClick xmlns:r="http://schemas.openxmlformats.org/officeDocument/2006/relationships" r:id="rId8"/>
          <a:extLst>
            <a:ext uri="{FF2B5EF4-FFF2-40B4-BE49-F238E27FC236}">
              <a16:creationId xmlns:a16="http://schemas.microsoft.com/office/drawing/2014/main" id="{B806F21A-3BD3-47E2-8A3D-271FF9596DD6}"/>
            </a:ext>
          </a:extLst>
        </xdr:cNvPr>
        <xdr:cNvSpPr/>
      </xdr:nvSpPr>
      <xdr:spPr>
        <a:xfrm>
          <a:off x="11338112" y="27689735"/>
          <a:ext cx="1066800" cy="683559"/>
        </a:xfrm>
        <a:prstGeom prst="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tx1"/>
              </a:solidFill>
              <a:latin typeface="Times New Roman" panose="02020603050405020304" pitchFamily="18" charset="0"/>
              <a:cs typeface="Times New Roman" panose="02020603050405020304" pitchFamily="18" charset="0"/>
            </a:rPr>
            <a:t>Go</a:t>
          </a:r>
          <a:r>
            <a:rPr lang="en-US" sz="1400" baseline="0">
              <a:solidFill>
                <a:schemeClr val="tx1"/>
              </a:solidFill>
              <a:latin typeface="Times New Roman" panose="02020603050405020304" pitchFamily="18" charset="0"/>
              <a:cs typeface="Times New Roman" panose="02020603050405020304" pitchFamily="18" charset="0"/>
            </a:rPr>
            <a:t> to tab</a:t>
          </a:r>
          <a:endParaRPr lang="en-US" sz="140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26</xdr:row>
      <xdr:rowOff>0</xdr:rowOff>
    </xdr:from>
    <xdr:to>
      <xdr:col>7</xdr:col>
      <xdr:colOff>0</xdr:colOff>
      <xdr:row>26</xdr:row>
      <xdr:rowOff>622300</xdr:rowOff>
    </xdr:to>
    <xdr:sp macro="" textlink="">
      <xdr:nvSpPr>
        <xdr:cNvPr id="11" name="Rectangle 10" descr="Tab Link to Excavation Wages">
          <a:hlinkClick xmlns:r="http://schemas.openxmlformats.org/officeDocument/2006/relationships" r:id="rId9"/>
          <a:extLst>
            <a:ext uri="{FF2B5EF4-FFF2-40B4-BE49-F238E27FC236}">
              <a16:creationId xmlns:a16="http://schemas.microsoft.com/office/drawing/2014/main" id="{C182342D-F037-4878-A674-386482D315E7}"/>
            </a:ext>
          </a:extLst>
        </xdr:cNvPr>
        <xdr:cNvSpPr/>
      </xdr:nvSpPr>
      <xdr:spPr>
        <a:xfrm>
          <a:off x="11338112" y="28866353"/>
          <a:ext cx="1066800" cy="622300"/>
        </a:xfrm>
        <a:prstGeom prst="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tx1"/>
              </a:solidFill>
              <a:latin typeface="Times New Roman" panose="02020603050405020304" pitchFamily="18" charset="0"/>
              <a:cs typeface="Times New Roman" panose="02020603050405020304" pitchFamily="18" charset="0"/>
            </a:rPr>
            <a:t>Go</a:t>
          </a:r>
          <a:r>
            <a:rPr lang="en-US" sz="1400" baseline="0">
              <a:solidFill>
                <a:schemeClr val="tx1"/>
              </a:solidFill>
              <a:latin typeface="Times New Roman" panose="02020603050405020304" pitchFamily="18" charset="0"/>
              <a:cs typeface="Times New Roman" panose="02020603050405020304" pitchFamily="18" charset="0"/>
            </a:rPr>
            <a:t> to tab</a:t>
          </a:r>
          <a:endParaRPr lang="en-US" sz="140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27</xdr:row>
      <xdr:rowOff>0</xdr:rowOff>
    </xdr:from>
    <xdr:to>
      <xdr:col>7</xdr:col>
      <xdr:colOff>0</xdr:colOff>
      <xdr:row>27</xdr:row>
      <xdr:rowOff>615950</xdr:rowOff>
    </xdr:to>
    <xdr:sp macro="" textlink="">
      <xdr:nvSpPr>
        <xdr:cNvPr id="12" name="Rectangle 11" descr="Tab Link to Sales Taxes">
          <a:hlinkClick xmlns:r="http://schemas.openxmlformats.org/officeDocument/2006/relationships" r:id="rId10"/>
          <a:extLst>
            <a:ext uri="{FF2B5EF4-FFF2-40B4-BE49-F238E27FC236}">
              <a16:creationId xmlns:a16="http://schemas.microsoft.com/office/drawing/2014/main" id="{77517914-F17E-4860-8CB7-DE774586F81A}"/>
            </a:ext>
          </a:extLst>
        </xdr:cNvPr>
        <xdr:cNvSpPr/>
      </xdr:nvSpPr>
      <xdr:spPr>
        <a:xfrm>
          <a:off x="11338112" y="29751618"/>
          <a:ext cx="1066800" cy="615950"/>
        </a:xfrm>
        <a:prstGeom prst="rect">
          <a:avLst/>
        </a:prstGeom>
        <a:solidFill>
          <a:schemeClr val="accent6">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22</xdr:row>
      <xdr:rowOff>0</xdr:rowOff>
    </xdr:from>
    <xdr:to>
      <xdr:col>7</xdr:col>
      <xdr:colOff>0</xdr:colOff>
      <xdr:row>22</xdr:row>
      <xdr:rowOff>625475</xdr:rowOff>
    </xdr:to>
    <xdr:sp macro="" textlink="">
      <xdr:nvSpPr>
        <xdr:cNvPr id="13" name="Rectangle 12" descr="Tab Link to Water Heaters Costs">
          <a:hlinkClick xmlns:r="http://schemas.openxmlformats.org/officeDocument/2006/relationships" r:id="rId11"/>
          <a:extLst>
            <a:ext uri="{FF2B5EF4-FFF2-40B4-BE49-F238E27FC236}">
              <a16:creationId xmlns:a16="http://schemas.microsoft.com/office/drawing/2014/main" id="{1C44F19E-A5BA-4D63-BD45-36DC75EFC791}"/>
            </a:ext>
          </a:extLst>
        </xdr:cNvPr>
        <xdr:cNvSpPr/>
      </xdr:nvSpPr>
      <xdr:spPr>
        <a:xfrm>
          <a:off x="11338112" y="23409088"/>
          <a:ext cx="1066800" cy="625475"/>
        </a:xfrm>
        <a:prstGeom prst="rect">
          <a:avLst/>
        </a:prstGeom>
        <a:solidFill>
          <a:schemeClr val="tx2">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latin typeface="Times New Roman" panose="02020603050405020304" pitchFamily="18" charset="0"/>
              <a:cs typeface="Times New Roman" panose="02020603050405020304" pitchFamily="18" charset="0"/>
            </a:rPr>
            <a:t>Go</a:t>
          </a:r>
          <a:r>
            <a:rPr lang="en-US" sz="1400" baseline="0">
              <a:solidFill>
                <a:sysClr val="windowText" lastClr="000000"/>
              </a:solidFill>
              <a:latin typeface="Times New Roman" panose="02020603050405020304" pitchFamily="18" charset="0"/>
              <a:cs typeface="Times New Roman" panose="02020603050405020304" pitchFamily="18" charset="0"/>
            </a:rPr>
            <a:t> to tab</a:t>
          </a:r>
          <a:endParaRPr 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28</xdr:row>
      <xdr:rowOff>13260</xdr:rowOff>
    </xdr:from>
    <xdr:to>
      <xdr:col>7</xdr:col>
      <xdr:colOff>0</xdr:colOff>
      <xdr:row>28</xdr:row>
      <xdr:rowOff>638735</xdr:rowOff>
    </xdr:to>
    <xdr:sp macro="" textlink="">
      <xdr:nvSpPr>
        <xdr:cNvPr id="14" name="Rectangle 13" descr="Tab Link to Credits and Trends">
          <a:hlinkClick xmlns:r="http://schemas.openxmlformats.org/officeDocument/2006/relationships" r:id="rId12"/>
          <a:extLst>
            <a:ext uri="{FF2B5EF4-FFF2-40B4-BE49-F238E27FC236}">
              <a16:creationId xmlns:a16="http://schemas.microsoft.com/office/drawing/2014/main" id="{223154B2-31CD-4746-9653-D2DECA65E7FD}"/>
            </a:ext>
          </a:extLst>
        </xdr:cNvPr>
        <xdr:cNvSpPr/>
      </xdr:nvSpPr>
      <xdr:spPr>
        <a:xfrm>
          <a:off x="11338112" y="30650142"/>
          <a:ext cx="1066800" cy="625475"/>
        </a:xfrm>
        <a:prstGeom prst="rect">
          <a:avLst/>
        </a:prstGeom>
        <a:solidFill>
          <a:schemeClr val="bg1">
            <a:lumMod val="6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latin typeface="Times New Roman" panose="02020603050405020304" pitchFamily="18" charset="0"/>
              <a:cs typeface="Times New Roman" panose="02020603050405020304" pitchFamily="18" charset="0"/>
            </a:rPr>
            <a:t>Go</a:t>
          </a:r>
          <a:r>
            <a:rPr lang="en-US" sz="1400" baseline="0">
              <a:solidFill>
                <a:sysClr val="windowText" lastClr="000000"/>
              </a:solidFill>
              <a:latin typeface="Times New Roman" panose="02020603050405020304" pitchFamily="18" charset="0"/>
              <a:cs typeface="Times New Roman" panose="02020603050405020304" pitchFamily="18" charset="0"/>
            </a:rPr>
            <a:t> to tab</a:t>
          </a:r>
          <a:endParaRPr lang="en-US" sz="14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31</xdr:row>
      <xdr:rowOff>0</xdr:rowOff>
    </xdr:from>
    <xdr:to>
      <xdr:col>7</xdr:col>
      <xdr:colOff>0</xdr:colOff>
      <xdr:row>31</xdr:row>
      <xdr:rowOff>485775</xdr:rowOff>
    </xdr:to>
    <xdr:sp macro="" textlink="">
      <xdr:nvSpPr>
        <xdr:cNvPr id="16" name="Rectangle 15" descr="Tab Link to Markup Notes">
          <a:hlinkClick xmlns:r="http://schemas.openxmlformats.org/officeDocument/2006/relationships" r:id="rId13"/>
          <a:extLst>
            <a:ext uri="{FF2B5EF4-FFF2-40B4-BE49-F238E27FC236}">
              <a16:creationId xmlns:a16="http://schemas.microsoft.com/office/drawing/2014/main" id="{CEBEC537-6EC7-4196-96D3-DDAF267C9587}"/>
            </a:ext>
          </a:extLst>
        </xdr:cNvPr>
        <xdr:cNvSpPr/>
      </xdr:nvSpPr>
      <xdr:spPr>
        <a:xfrm>
          <a:off x="11338112" y="33292676"/>
          <a:ext cx="1066800" cy="485775"/>
        </a:xfrm>
        <a:prstGeom prst="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30</xdr:row>
      <xdr:rowOff>0</xdr:rowOff>
    </xdr:from>
    <xdr:to>
      <xdr:col>7</xdr:col>
      <xdr:colOff>0</xdr:colOff>
      <xdr:row>30</xdr:row>
      <xdr:rowOff>622300</xdr:rowOff>
    </xdr:to>
    <xdr:sp macro="" textlink="">
      <xdr:nvSpPr>
        <xdr:cNvPr id="17" name="Rectangle 16" descr="Tab Link to Mini-Split Air Handler Notes">
          <a:hlinkClick xmlns:r="http://schemas.openxmlformats.org/officeDocument/2006/relationships" r:id="rId14"/>
          <a:extLst>
            <a:ext uri="{FF2B5EF4-FFF2-40B4-BE49-F238E27FC236}">
              <a16:creationId xmlns:a16="http://schemas.microsoft.com/office/drawing/2014/main" id="{03826768-182D-4FFB-BB59-ECD1ACAF1257}"/>
            </a:ext>
          </a:extLst>
        </xdr:cNvPr>
        <xdr:cNvSpPr/>
      </xdr:nvSpPr>
      <xdr:spPr>
        <a:xfrm>
          <a:off x="11338112" y="32116059"/>
          <a:ext cx="1066800" cy="622300"/>
        </a:xfrm>
        <a:prstGeom prst="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32</xdr:row>
      <xdr:rowOff>0</xdr:rowOff>
    </xdr:from>
    <xdr:to>
      <xdr:col>7</xdr:col>
      <xdr:colOff>0</xdr:colOff>
      <xdr:row>32</xdr:row>
      <xdr:rowOff>485775</xdr:rowOff>
    </xdr:to>
    <xdr:sp macro="" textlink="">
      <xdr:nvSpPr>
        <xdr:cNvPr id="18" name="Rectangle 17" descr="Tab Link to Gas Dryer Notes">
          <a:hlinkClick xmlns:r="http://schemas.openxmlformats.org/officeDocument/2006/relationships" r:id="rId15"/>
          <a:extLst>
            <a:ext uri="{FF2B5EF4-FFF2-40B4-BE49-F238E27FC236}">
              <a16:creationId xmlns:a16="http://schemas.microsoft.com/office/drawing/2014/main" id="{AAE2A499-6F1E-4060-B573-76EF9E2BFC7C}"/>
            </a:ext>
          </a:extLst>
        </xdr:cNvPr>
        <xdr:cNvSpPr/>
      </xdr:nvSpPr>
      <xdr:spPr>
        <a:xfrm>
          <a:off x="11338112" y="34177941"/>
          <a:ext cx="1066800" cy="485775"/>
        </a:xfrm>
        <a:prstGeom prst="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29</xdr:row>
      <xdr:rowOff>0</xdr:rowOff>
    </xdr:from>
    <xdr:to>
      <xdr:col>7</xdr:col>
      <xdr:colOff>0</xdr:colOff>
      <xdr:row>29</xdr:row>
      <xdr:rowOff>485775</xdr:rowOff>
    </xdr:to>
    <xdr:sp macro="" textlink="">
      <xdr:nvSpPr>
        <xdr:cNvPr id="21" name="Rectangle 20" descr="Venting Notes">
          <a:hlinkClick xmlns:r="http://schemas.openxmlformats.org/officeDocument/2006/relationships" r:id="rId16"/>
          <a:extLst>
            <a:ext uri="{FF2B5EF4-FFF2-40B4-BE49-F238E27FC236}">
              <a16:creationId xmlns:a16="http://schemas.microsoft.com/office/drawing/2014/main" id="{A7D64E2B-47E2-4B68-951C-04504D4C301F}"/>
            </a:ext>
          </a:extLst>
        </xdr:cNvPr>
        <xdr:cNvSpPr/>
      </xdr:nvSpPr>
      <xdr:spPr>
        <a:xfrm>
          <a:off x="11338112" y="31522147"/>
          <a:ext cx="1066800" cy="485775"/>
        </a:xfrm>
        <a:prstGeom prst="rect">
          <a:avLst/>
        </a:prstGeom>
        <a:solidFill>
          <a:schemeClr val="accent5">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8</xdr:row>
      <xdr:rowOff>0</xdr:rowOff>
    </xdr:from>
    <xdr:to>
      <xdr:col>7</xdr:col>
      <xdr:colOff>0</xdr:colOff>
      <xdr:row>8</xdr:row>
      <xdr:rowOff>625475</xdr:rowOff>
    </xdr:to>
    <xdr:sp macro="" textlink="">
      <xdr:nvSpPr>
        <xdr:cNvPr id="22" name="Rectangle 21" descr="Tab Link to National Average Costs">
          <a:hlinkClick xmlns:r="http://schemas.openxmlformats.org/officeDocument/2006/relationships" r:id="rId17"/>
          <a:extLst>
            <a:ext uri="{FF2B5EF4-FFF2-40B4-BE49-F238E27FC236}">
              <a16:creationId xmlns:a16="http://schemas.microsoft.com/office/drawing/2014/main" id="{16D242DB-04F4-4D9A-99F9-3CEB653A7CF8}"/>
            </a:ext>
          </a:extLst>
        </xdr:cNvPr>
        <xdr:cNvSpPr/>
      </xdr:nvSpPr>
      <xdr:spPr>
        <a:xfrm>
          <a:off x="11338112" y="2902324"/>
          <a:ext cx="1066800" cy="62547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11</xdr:row>
      <xdr:rowOff>0</xdr:rowOff>
    </xdr:from>
    <xdr:to>
      <xdr:col>7</xdr:col>
      <xdr:colOff>0</xdr:colOff>
      <xdr:row>11</xdr:row>
      <xdr:rowOff>625475</xdr:rowOff>
    </xdr:to>
    <xdr:sp macro="" textlink="">
      <xdr:nvSpPr>
        <xdr:cNvPr id="34" name="Rectangle 33" descr="Tab Link to  East North Central Costs">
          <a:hlinkClick xmlns:r="http://schemas.openxmlformats.org/officeDocument/2006/relationships" r:id="rId18"/>
          <a:extLst>
            <a:ext uri="{FF2B5EF4-FFF2-40B4-BE49-F238E27FC236}">
              <a16:creationId xmlns:a16="http://schemas.microsoft.com/office/drawing/2014/main" id="{7DA0FECD-4B99-4258-A5BD-397036EFDED3}"/>
            </a:ext>
          </a:extLst>
        </xdr:cNvPr>
        <xdr:cNvSpPr/>
      </xdr:nvSpPr>
      <xdr:spPr>
        <a:xfrm>
          <a:off x="11338112" y="4381500"/>
          <a:ext cx="1066800" cy="62547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14</xdr:row>
      <xdr:rowOff>0</xdr:rowOff>
    </xdr:from>
    <xdr:to>
      <xdr:col>7</xdr:col>
      <xdr:colOff>0</xdr:colOff>
      <xdr:row>14</xdr:row>
      <xdr:rowOff>625475</xdr:rowOff>
    </xdr:to>
    <xdr:sp macro="" textlink="">
      <xdr:nvSpPr>
        <xdr:cNvPr id="35" name="Rectangle 34" descr="Tab Link to East South Central Costs">
          <a:hlinkClick xmlns:r="http://schemas.openxmlformats.org/officeDocument/2006/relationships" r:id="rId19"/>
          <a:extLst>
            <a:ext uri="{FF2B5EF4-FFF2-40B4-BE49-F238E27FC236}">
              <a16:creationId xmlns:a16="http://schemas.microsoft.com/office/drawing/2014/main" id="{D48E1EAF-514B-4BEF-B323-420A0E4562F5}"/>
            </a:ext>
          </a:extLst>
        </xdr:cNvPr>
        <xdr:cNvSpPr/>
      </xdr:nvSpPr>
      <xdr:spPr>
        <a:xfrm>
          <a:off x="10390095" y="12711953"/>
          <a:ext cx="1102658" cy="62547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10</xdr:row>
      <xdr:rowOff>0</xdr:rowOff>
    </xdr:from>
    <xdr:to>
      <xdr:col>7</xdr:col>
      <xdr:colOff>0</xdr:colOff>
      <xdr:row>10</xdr:row>
      <xdr:rowOff>625475</xdr:rowOff>
    </xdr:to>
    <xdr:sp macro="" textlink="">
      <xdr:nvSpPr>
        <xdr:cNvPr id="36" name="Rectangle 35" descr="Tab Link to Middle Atlantic Costs">
          <a:hlinkClick xmlns:r="http://schemas.openxmlformats.org/officeDocument/2006/relationships" r:id="rId20"/>
          <a:extLst>
            <a:ext uri="{FF2B5EF4-FFF2-40B4-BE49-F238E27FC236}">
              <a16:creationId xmlns:a16="http://schemas.microsoft.com/office/drawing/2014/main" id="{047C9342-FE1B-4B28-BBD8-10CE851F9612}"/>
            </a:ext>
          </a:extLst>
        </xdr:cNvPr>
        <xdr:cNvSpPr/>
      </xdr:nvSpPr>
      <xdr:spPr>
        <a:xfrm>
          <a:off x="11338112" y="7339853"/>
          <a:ext cx="1066800" cy="62547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16</xdr:row>
      <xdr:rowOff>0</xdr:rowOff>
    </xdr:from>
    <xdr:to>
      <xdr:col>7</xdr:col>
      <xdr:colOff>0</xdr:colOff>
      <xdr:row>16</xdr:row>
      <xdr:rowOff>625475</xdr:rowOff>
    </xdr:to>
    <xdr:sp macro="" textlink="">
      <xdr:nvSpPr>
        <xdr:cNvPr id="37" name="Rectangle 36" descr="Tab Link to Mountain Costs">
          <a:hlinkClick xmlns:r="http://schemas.openxmlformats.org/officeDocument/2006/relationships" r:id="rId21"/>
          <a:extLst>
            <a:ext uri="{FF2B5EF4-FFF2-40B4-BE49-F238E27FC236}">
              <a16:creationId xmlns:a16="http://schemas.microsoft.com/office/drawing/2014/main" id="{E94C9E12-B713-4A47-AC2A-543717C1913D}"/>
            </a:ext>
          </a:extLst>
        </xdr:cNvPr>
        <xdr:cNvSpPr/>
      </xdr:nvSpPr>
      <xdr:spPr>
        <a:xfrm>
          <a:off x="11338112" y="8819029"/>
          <a:ext cx="1066800" cy="62547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9</xdr:row>
      <xdr:rowOff>0</xdr:rowOff>
    </xdr:from>
    <xdr:to>
      <xdr:col>7</xdr:col>
      <xdr:colOff>0</xdr:colOff>
      <xdr:row>9</xdr:row>
      <xdr:rowOff>625475</xdr:rowOff>
    </xdr:to>
    <xdr:sp macro="" textlink="">
      <xdr:nvSpPr>
        <xdr:cNvPr id="38" name="Rectangle 37" descr="Tab Link to New England Costs">
          <a:hlinkClick xmlns:r="http://schemas.openxmlformats.org/officeDocument/2006/relationships" r:id="rId22"/>
          <a:extLst>
            <a:ext uri="{FF2B5EF4-FFF2-40B4-BE49-F238E27FC236}">
              <a16:creationId xmlns:a16="http://schemas.microsoft.com/office/drawing/2014/main" id="{5B10C076-937C-45E6-A9F2-A81626603719}"/>
            </a:ext>
          </a:extLst>
        </xdr:cNvPr>
        <xdr:cNvSpPr/>
      </xdr:nvSpPr>
      <xdr:spPr>
        <a:xfrm>
          <a:off x="11338112" y="10298206"/>
          <a:ext cx="1066800" cy="62547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17</xdr:row>
      <xdr:rowOff>0</xdr:rowOff>
    </xdr:from>
    <xdr:to>
      <xdr:col>7</xdr:col>
      <xdr:colOff>0</xdr:colOff>
      <xdr:row>17</xdr:row>
      <xdr:rowOff>625475</xdr:rowOff>
    </xdr:to>
    <xdr:sp macro="" textlink="">
      <xdr:nvSpPr>
        <xdr:cNvPr id="39" name="Rectangle 38" descr="Tab Link to Pacific Costs">
          <a:hlinkClick xmlns:r="http://schemas.openxmlformats.org/officeDocument/2006/relationships" r:id="rId23"/>
          <a:extLst>
            <a:ext uri="{FF2B5EF4-FFF2-40B4-BE49-F238E27FC236}">
              <a16:creationId xmlns:a16="http://schemas.microsoft.com/office/drawing/2014/main" id="{231A6F75-52FE-4552-BC05-2B3C6C1C702E}"/>
            </a:ext>
          </a:extLst>
        </xdr:cNvPr>
        <xdr:cNvSpPr/>
      </xdr:nvSpPr>
      <xdr:spPr>
        <a:xfrm>
          <a:off x="11338112" y="11777382"/>
          <a:ext cx="1066800" cy="62547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13</xdr:row>
      <xdr:rowOff>0</xdr:rowOff>
    </xdr:from>
    <xdr:to>
      <xdr:col>7</xdr:col>
      <xdr:colOff>0</xdr:colOff>
      <xdr:row>13</xdr:row>
      <xdr:rowOff>625475</xdr:rowOff>
    </xdr:to>
    <xdr:sp macro="" textlink="">
      <xdr:nvSpPr>
        <xdr:cNvPr id="40" name="Rectangle 39" descr="Tab Link to Soutch Atlantic Costs">
          <a:hlinkClick xmlns:r="http://schemas.openxmlformats.org/officeDocument/2006/relationships" r:id="rId24"/>
          <a:extLst>
            <a:ext uri="{FF2B5EF4-FFF2-40B4-BE49-F238E27FC236}">
              <a16:creationId xmlns:a16="http://schemas.microsoft.com/office/drawing/2014/main" id="{503004B4-EC5D-4D80-939D-D3340E912279}"/>
            </a:ext>
          </a:extLst>
        </xdr:cNvPr>
        <xdr:cNvSpPr/>
      </xdr:nvSpPr>
      <xdr:spPr>
        <a:xfrm>
          <a:off x="11338112" y="13256559"/>
          <a:ext cx="1066800" cy="62547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12</xdr:row>
      <xdr:rowOff>0</xdr:rowOff>
    </xdr:from>
    <xdr:to>
      <xdr:col>7</xdr:col>
      <xdr:colOff>0</xdr:colOff>
      <xdr:row>12</xdr:row>
      <xdr:rowOff>625475</xdr:rowOff>
    </xdr:to>
    <xdr:sp macro="" textlink="">
      <xdr:nvSpPr>
        <xdr:cNvPr id="41" name="Rectangle 40" descr="Tab Link to  West North Central Costs">
          <a:hlinkClick xmlns:r="http://schemas.openxmlformats.org/officeDocument/2006/relationships" r:id="rId25"/>
          <a:extLst>
            <a:ext uri="{FF2B5EF4-FFF2-40B4-BE49-F238E27FC236}">
              <a16:creationId xmlns:a16="http://schemas.microsoft.com/office/drawing/2014/main" id="{326C96CE-6CBD-4D57-B185-C930F80248A5}"/>
            </a:ext>
          </a:extLst>
        </xdr:cNvPr>
        <xdr:cNvSpPr/>
      </xdr:nvSpPr>
      <xdr:spPr>
        <a:xfrm>
          <a:off x="11338112" y="14735735"/>
          <a:ext cx="1066800" cy="62547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6</xdr:col>
      <xdr:colOff>233083</xdr:colOff>
      <xdr:row>15</xdr:row>
      <xdr:rowOff>0</xdr:rowOff>
    </xdr:from>
    <xdr:to>
      <xdr:col>7</xdr:col>
      <xdr:colOff>0</xdr:colOff>
      <xdr:row>15</xdr:row>
      <xdr:rowOff>625475</xdr:rowOff>
    </xdr:to>
    <xdr:sp macro="" textlink="">
      <xdr:nvSpPr>
        <xdr:cNvPr id="19" name="Rectangle 18" descr="Tab Link to  West South Central Costs">
          <a:hlinkClick xmlns:r="http://schemas.openxmlformats.org/officeDocument/2006/relationships" r:id="rId26"/>
          <a:extLst>
            <a:ext uri="{FF2B5EF4-FFF2-40B4-BE49-F238E27FC236}">
              <a16:creationId xmlns:a16="http://schemas.microsoft.com/office/drawing/2014/main" id="{1CC30BC8-7217-4AC5-924D-38B29C52225E}"/>
            </a:ext>
          </a:extLst>
        </xdr:cNvPr>
        <xdr:cNvSpPr/>
      </xdr:nvSpPr>
      <xdr:spPr>
        <a:xfrm>
          <a:off x="10130118" y="18332824"/>
          <a:ext cx="1066800" cy="629285"/>
        </a:xfrm>
        <a:prstGeom prst="rect">
          <a:avLst/>
        </a:prstGeom>
        <a:solidFill>
          <a:schemeClr val="tx2">
            <a:lumMod val="75000"/>
            <a:lumOff val="2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chemeClr val="bg1"/>
              </a:solidFill>
              <a:latin typeface="Times New Roman" panose="02020603050405020304" pitchFamily="18" charset="0"/>
              <a:cs typeface="Times New Roman" panose="02020603050405020304" pitchFamily="18" charset="0"/>
            </a:rPr>
            <a:t>Go</a:t>
          </a:r>
          <a:r>
            <a:rPr lang="en-US" sz="1400" baseline="0">
              <a:solidFill>
                <a:schemeClr val="bg1"/>
              </a:solidFill>
              <a:latin typeface="Times New Roman" panose="02020603050405020304" pitchFamily="18" charset="0"/>
              <a:cs typeface="Times New Roman" panose="02020603050405020304" pitchFamily="18" charset="0"/>
            </a:rPr>
            <a:t> to tab</a:t>
          </a:r>
          <a:endParaRPr lang="en-US" sz="1400">
            <a:solidFill>
              <a:schemeClr val="bg1"/>
            </a:solidFill>
            <a:latin typeface="Times New Roman" panose="02020603050405020304" pitchFamily="18" charset="0"/>
            <a:cs typeface="Times New Roman" panose="02020603050405020304" pitchFamily="18" charset="0"/>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21</xdr:col>
      <xdr:colOff>0</xdr:colOff>
      <xdr:row>0</xdr:row>
      <xdr:rowOff>0</xdr:rowOff>
    </xdr:from>
    <xdr:to>
      <xdr:col>22</xdr:col>
      <xdr:colOff>3463</xdr:colOff>
      <xdr:row>3</xdr:row>
      <xdr:rowOff>0</xdr:rowOff>
    </xdr:to>
    <xdr:sp macro="" textlink="">
      <xdr:nvSpPr>
        <xdr:cNvPr id="4" name="Rectangle 3" descr="Tab Link to Table of Contents">
          <a:hlinkClick xmlns:r="http://schemas.openxmlformats.org/officeDocument/2006/relationships" r:id="rId1"/>
          <a:extLst>
            <a:ext uri="{FF2B5EF4-FFF2-40B4-BE49-F238E27FC236}">
              <a16:creationId xmlns:a16="http://schemas.microsoft.com/office/drawing/2014/main" id="{C304C884-6342-40EE-AE21-21297188552C}"/>
            </a:ext>
          </a:extLst>
        </xdr:cNvPr>
        <xdr:cNvSpPr/>
      </xdr:nvSpPr>
      <xdr:spPr>
        <a:xfrm>
          <a:off x="29765625" y="0"/>
          <a:ext cx="1946563" cy="1847850"/>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22</xdr:col>
      <xdr:colOff>0</xdr:colOff>
      <xdr:row>0</xdr:row>
      <xdr:rowOff>0</xdr:rowOff>
    </xdr:from>
    <xdr:to>
      <xdr:col>23</xdr:col>
      <xdr:colOff>3463</xdr:colOff>
      <xdr:row>3</xdr:row>
      <xdr:rowOff>0</xdr:rowOff>
    </xdr:to>
    <xdr:sp macro="" textlink="">
      <xdr:nvSpPr>
        <xdr:cNvPr id="3" name="Rectangle 2" descr="Tab Link to Table of Contents">
          <a:hlinkClick xmlns:r="http://schemas.openxmlformats.org/officeDocument/2006/relationships" r:id="rId1"/>
          <a:extLst>
            <a:ext uri="{FF2B5EF4-FFF2-40B4-BE49-F238E27FC236}">
              <a16:creationId xmlns:a16="http://schemas.microsoft.com/office/drawing/2014/main" id="{313E5B4A-9752-4828-8C92-1B2C9FCDEAC2}"/>
            </a:ext>
          </a:extLst>
        </xdr:cNvPr>
        <xdr:cNvSpPr/>
      </xdr:nvSpPr>
      <xdr:spPr>
        <a:xfrm>
          <a:off x="29765625" y="0"/>
          <a:ext cx="1946563" cy="1847850"/>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13608</xdr:colOff>
      <xdr:row>0</xdr:row>
      <xdr:rowOff>0</xdr:rowOff>
    </xdr:from>
    <xdr:to>
      <xdr:col>19</xdr:col>
      <xdr:colOff>13607</xdr:colOff>
      <xdr:row>1</xdr:row>
      <xdr:rowOff>13606</xdr:rowOff>
    </xdr:to>
    <xdr:sp macro="" textlink="">
      <xdr:nvSpPr>
        <xdr:cNvPr id="8" name="Rectangle 7" descr="Tab Link to Table of Contents">
          <a:hlinkClick xmlns:r="http://schemas.openxmlformats.org/officeDocument/2006/relationships" r:id="rId1"/>
          <a:extLst>
            <a:ext uri="{FF2B5EF4-FFF2-40B4-BE49-F238E27FC236}">
              <a16:creationId xmlns:a16="http://schemas.microsoft.com/office/drawing/2014/main" id="{1F3EC2B5-3BE2-4439-B0C9-CFD6C70013B9}"/>
            </a:ext>
          </a:extLst>
        </xdr:cNvPr>
        <xdr:cNvSpPr/>
      </xdr:nvSpPr>
      <xdr:spPr>
        <a:xfrm>
          <a:off x="17961429" y="0"/>
          <a:ext cx="1319892" cy="1156606"/>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32658</xdr:colOff>
      <xdr:row>0</xdr:row>
      <xdr:rowOff>0</xdr:rowOff>
    </xdr:from>
    <xdr:to>
      <xdr:col>11</xdr:col>
      <xdr:colOff>32657</xdr:colOff>
      <xdr:row>1</xdr:row>
      <xdr:rowOff>13606</xdr:rowOff>
    </xdr:to>
    <xdr:sp macro="" textlink="">
      <xdr:nvSpPr>
        <xdr:cNvPr id="3" name="Rectangle 2" descr="Tab Link to Table of Contents">
          <a:hlinkClick xmlns:r="http://schemas.openxmlformats.org/officeDocument/2006/relationships" r:id="rId1"/>
          <a:extLst>
            <a:ext uri="{FF2B5EF4-FFF2-40B4-BE49-F238E27FC236}">
              <a16:creationId xmlns:a16="http://schemas.microsoft.com/office/drawing/2014/main" id="{1FFEC412-88E7-4A9B-A3F6-77C1B233B134}"/>
            </a:ext>
          </a:extLst>
        </xdr:cNvPr>
        <xdr:cNvSpPr/>
      </xdr:nvSpPr>
      <xdr:spPr>
        <a:xfrm>
          <a:off x="15129783" y="0"/>
          <a:ext cx="2609849" cy="394606"/>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32658</xdr:colOff>
      <xdr:row>1</xdr:row>
      <xdr:rowOff>0</xdr:rowOff>
    </xdr:from>
    <xdr:to>
      <xdr:col>11</xdr:col>
      <xdr:colOff>32657</xdr:colOff>
      <xdr:row>2</xdr:row>
      <xdr:rowOff>13606</xdr:rowOff>
    </xdr:to>
    <xdr:sp macro="" textlink="">
      <xdr:nvSpPr>
        <xdr:cNvPr id="4" name="Rectangle 3" descr="Tab Link to Table of Contents">
          <a:hlinkClick xmlns:r="http://schemas.openxmlformats.org/officeDocument/2006/relationships" r:id="rId1"/>
          <a:extLst>
            <a:ext uri="{FF2B5EF4-FFF2-40B4-BE49-F238E27FC236}">
              <a16:creationId xmlns:a16="http://schemas.microsoft.com/office/drawing/2014/main" id="{52FBE830-BB67-410E-A702-109F21BC8BA6}"/>
            </a:ext>
          </a:extLst>
        </xdr:cNvPr>
        <xdr:cNvSpPr/>
      </xdr:nvSpPr>
      <xdr:spPr>
        <a:xfrm>
          <a:off x="15129783" y="0"/>
          <a:ext cx="2609849" cy="394606"/>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11</xdr:col>
      <xdr:colOff>32658</xdr:colOff>
      <xdr:row>0</xdr:row>
      <xdr:rowOff>0</xdr:rowOff>
    </xdr:from>
    <xdr:to>
      <xdr:col>12</xdr:col>
      <xdr:colOff>32657</xdr:colOff>
      <xdr:row>1</xdr:row>
      <xdr:rowOff>13606</xdr:rowOff>
    </xdr:to>
    <xdr:sp macro="" textlink="">
      <xdr:nvSpPr>
        <xdr:cNvPr id="3" name="Rectangle 2" descr="Tab Link to Table of Contents">
          <a:hlinkClick xmlns:r="http://schemas.openxmlformats.org/officeDocument/2006/relationships" r:id="rId1"/>
          <a:extLst>
            <a:ext uri="{FF2B5EF4-FFF2-40B4-BE49-F238E27FC236}">
              <a16:creationId xmlns:a16="http://schemas.microsoft.com/office/drawing/2014/main" id="{7DCC3B8D-11C2-4AF1-B8C1-0C75412CB9FF}"/>
            </a:ext>
          </a:extLst>
        </xdr:cNvPr>
        <xdr:cNvSpPr/>
      </xdr:nvSpPr>
      <xdr:spPr>
        <a:xfrm>
          <a:off x="15129783" y="0"/>
          <a:ext cx="2609849" cy="394606"/>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14</xdr:col>
      <xdr:colOff>32658</xdr:colOff>
      <xdr:row>0</xdr:row>
      <xdr:rowOff>0</xdr:rowOff>
    </xdr:from>
    <xdr:to>
      <xdr:col>15</xdr:col>
      <xdr:colOff>32657</xdr:colOff>
      <xdr:row>1</xdr:row>
      <xdr:rowOff>13606</xdr:rowOff>
    </xdr:to>
    <xdr:sp macro="" textlink="">
      <xdr:nvSpPr>
        <xdr:cNvPr id="3" name="Rectangle 2" descr="Tab Link to Table of Contents">
          <a:hlinkClick xmlns:r="http://schemas.openxmlformats.org/officeDocument/2006/relationships" r:id="rId1"/>
          <a:extLst>
            <a:ext uri="{FF2B5EF4-FFF2-40B4-BE49-F238E27FC236}">
              <a16:creationId xmlns:a16="http://schemas.microsoft.com/office/drawing/2014/main" id="{D1118685-9C58-49DD-869C-E0766C47A713}"/>
            </a:ext>
          </a:extLst>
        </xdr:cNvPr>
        <xdr:cNvSpPr/>
      </xdr:nvSpPr>
      <xdr:spPr>
        <a:xfrm>
          <a:off x="12567558" y="0"/>
          <a:ext cx="1457324" cy="832756"/>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11</xdr:col>
      <xdr:colOff>32658</xdr:colOff>
      <xdr:row>0</xdr:row>
      <xdr:rowOff>0</xdr:rowOff>
    </xdr:from>
    <xdr:to>
      <xdr:col>12</xdr:col>
      <xdr:colOff>32657</xdr:colOff>
      <xdr:row>1</xdr:row>
      <xdr:rowOff>13606</xdr:rowOff>
    </xdr:to>
    <xdr:sp macro="" textlink="">
      <xdr:nvSpPr>
        <xdr:cNvPr id="3" name="Rectangle 2" descr="Tab Link to Table of Contents">
          <a:hlinkClick xmlns:r="http://schemas.openxmlformats.org/officeDocument/2006/relationships" r:id="rId1"/>
          <a:extLst>
            <a:ext uri="{FF2B5EF4-FFF2-40B4-BE49-F238E27FC236}">
              <a16:creationId xmlns:a16="http://schemas.microsoft.com/office/drawing/2014/main" id="{7F854A1D-4718-45F4-9E94-60455C3637FF}"/>
            </a:ext>
          </a:extLst>
        </xdr:cNvPr>
        <xdr:cNvSpPr/>
      </xdr:nvSpPr>
      <xdr:spPr>
        <a:xfrm>
          <a:off x="10443483" y="0"/>
          <a:ext cx="1314449" cy="480331"/>
        </a:xfrm>
        <a:prstGeom prst="rect">
          <a:avLst/>
        </a:prstGeom>
        <a:solidFill>
          <a:srgbClr val="0F9ED5">
            <a:lumMod val="20000"/>
            <a:lumOff val="80000"/>
          </a:srgbClr>
        </a:solidFill>
        <a:ln w="19050" cap="flat" cmpd="sng" algn="ctr">
          <a:solidFill>
            <a:srgbClr val="156082">
              <a:shade val="15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Go to tab</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2BF6B413-A5CF-44E9-9B26-271D4882D9B6}"/>
            </a:ext>
          </a:extLst>
        </xdr:cNvPr>
        <xdr:cNvSpPr/>
      </xdr:nvSpPr>
      <xdr:spPr>
        <a:xfrm>
          <a:off x="7315200" y="0"/>
          <a:ext cx="609599" cy="571499"/>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6</xdr:row>
      <xdr:rowOff>0</xdr:rowOff>
    </xdr:from>
    <xdr:to>
      <xdr:col>3</xdr:col>
      <xdr:colOff>19050</xdr:colOff>
      <xdr:row>8</xdr:row>
      <xdr:rowOff>19050</xdr:rowOff>
    </xdr:to>
    <xdr:pic>
      <xdr:nvPicPr>
        <xdr:cNvPr id="3" name="Picture 2">
          <a:extLst>
            <a:ext uri="{FF2B5EF4-FFF2-40B4-BE49-F238E27FC236}">
              <a16:creationId xmlns:a16="http://schemas.microsoft.com/office/drawing/2014/main" id="{73BACFD6-3BC3-52FE-B27C-2C12998BD0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6</xdr:row>
      <xdr:rowOff>0</xdr:rowOff>
    </xdr:from>
    <xdr:to>
      <xdr:col>18</xdr:col>
      <xdr:colOff>19050</xdr:colOff>
      <xdr:row>8</xdr:row>
      <xdr:rowOff>19050</xdr:rowOff>
    </xdr:to>
    <xdr:pic>
      <xdr:nvPicPr>
        <xdr:cNvPr id="4" name="Picture 3">
          <a:extLst>
            <a:ext uri="{FF2B5EF4-FFF2-40B4-BE49-F238E27FC236}">
              <a16:creationId xmlns:a16="http://schemas.microsoft.com/office/drawing/2014/main" id="{413CF172-C976-7790-DAEC-C5FDE2EA319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51198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6</xdr:row>
      <xdr:rowOff>0</xdr:rowOff>
    </xdr:from>
    <xdr:to>
      <xdr:col>18</xdr:col>
      <xdr:colOff>19050</xdr:colOff>
      <xdr:row>8</xdr:row>
      <xdr:rowOff>19050</xdr:rowOff>
    </xdr:to>
    <xdr:pic>
      <xdr:nvPicPr>
        <xdr:cNvPr id="5" name="Picture 4">
          <a:extLst>
            <a:ext uri="{FF2B5EF4-FFF2-40B4-BE49-F238E27FC236}">
              <a16:creationId xmlns:a16="http://schemas.microsoft.com/office/drawing/2014/main" id="{F14BFF47-3AA7-60A8-E686-BB64E7FD807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51198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6</xdr:row>
      <xdr:rowOff>0</xdr:rowOff>
    </xdr:from>
    <xdr:to>
      <xdr:col>33</xdr:col>
      <xdr:colOff>15240</xdr:colOff>
      <xdr:row>8</xdr:row>
      <xdr:rowOff>15240</xdr:rowOff>
    </xdr:to>
    <xdr:pic>
      <xdr:nvPicPr>
        <xdr:cNvPr id="6" name="Picture 5">
          <a:extLst>
            <a:ext uri="{FF2B5EF4-FFF2-40B4-BE49-F238E27FC236}">
              <a16:creationId xmlns:a16="http://schemas.microsoft.com/office/drawing/2014/main" id="{AC665A14-6ED4-4425-88A3-E314DCDC783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4848700" y="4953000"/>
          <a:ext cx="4581525" cy="2714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22</xdr:row>
      <xdr:rowOff>0</xdr:rowOff>
    </xdr:from>
    <xdr:to>
      <xdr:col>3</xdr:col>
      <xdr:colOff>19050</xdr:colOff>
      <xdr:row>25</xdr:row>
      <xdr:rowOff>19050</xdr:rowOff>
    </xdr:to>
    <xdr:pic>
      <xdr:nvPicPr>
        <xdr:cNvPr id="8" name="Picture 7">
          <a:extLst>
            <a:ext uri="{FF2B5EF4-FFF2-40B4-BE49-F238E27FC236}">
              <a16:creationId xmlns:a16="http://schemas.microsoft.com/office/drawing/2014/main" id="{EBDCD987-6F3F-793F-EF01-E756B360213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 y="39989760"/>
          <a:ext cx="4564380" cy="304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22</xdr:row>
      <xdr:rowOff>0</xdr:rowOff>
    </xdr:from>
    <xdr:to>
      <xdr:col>18</xdr:col>
      <xdr:colOff>15240</xdr:colOff>
      <xdr:row>25</xdr:row>
      <xdr:rowOff>15240</xdr:rowOff>
    </xdr:to>
    <xdr:pic>
      <xdr:nvPicPr>
        <xdr:cNvPr id="9" name="Picture 8">
          <a:extLst>
            <a:ext uri="{FF2B5EF4-FFF2-40B4-BE49-F238E27FC236}">
              <a16:creationId xmlns:a16="http://schemas.microsoft.com/office/drawing/2014/main" id="{58132C11-BB0C-4CF5-8FDC-42828730028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481500" y="402336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22</xdr:row>
      <xdr:rowOff>0</xdr:rowOff>
    </xdr:from>
    <xdr:to>
      <xdr:col>33</xdr:col>
      <xdr:colOff>15240</xdr:colOff>
      <xdr:row>25</xdr:row>
      <xdr:rowOff>15240</xdr:rowOff>
    </xdr:to>
    <xdr:pic>
      <xdr:nvPicPr>
        <xdr:cNvPr id="10" name="Picture 9">
          <a:extLst>
            <a:ext uri="{FF2B5EF4-FFF2-40B4-BE49-F238E27FC236}">
              <a16:creationId xmlns:a16="http://schemas.microsoft.com/office/drawing/2014/main" id="{77BA725D-BA75-4C74-B263-8154ED98A1E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4848700" y="402336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32</xdr:row>
      <xdr:rowOff>0</xdr:rowOff>
    </xdr:from>
    <xdr:to>
      <xdr:col>33</xdr:col>
      <xdr:colOff>15240</xdr:colOff>
      <xdr:row>35</xdr:row>
      <xdr:rowOff>15240</xdr:rowOff>
    </xdr:to>
    <xdr:pic>
      <xdr:nvPicPr>
        <xdr:cNvPr id="11" name="Picture 10">
          <a:extLst>
            <a:ext uri="{FF2B5EF4-FFF2-40B4-BE49-F238E27FC236}">
              <a16:creationId xmlns:a16="http://schemas.microsoft.com/office/drawing/2014/main" id="{210E6101-D8CD-48D8-94E1-A477F4F6014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4848700" y="593217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32</xdr:row>
      <xdr:rowOff>0</xdr:rowOff>
    </xdr:from>
    <xdr:to>
      <xdr:col>18</xdr:col>
      <xdr:colOff>15240</xdr:colOff>
      <xdr:row>35</xdr:row>
      <xdr:rowOff>15240</xdr:rowOff>
    </xdr:to>
    <xdr:pic>
      <xdr:nvPicPr>
        <xdr:cNvPr id="12" name="Picture 11">
          <a:extLst>
            <a:ext uri="{FF2B5EF4-FFF2-40B4-BE49-F238E27FC236}">
              <a16:creationId xmlns:a16="http://schemas.microsoft.com/office/drawing/2014/main" id="{66838F30-DD2E-4B32-9115-3E57FBBC2F7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481500" y="593217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32</xdr:row>
      <xdr:rowOff>0</xdr:rowOff>
    </xdr:from>
    <xdr:to>
      <xdr:col>3</xdr:col>
      <xdr:colOff>15240</xdr:colOff>
      <xdr:row>35</xdr:row>
      <xdr:rowOff>15240</xdr:rowOff>
    </xdr:to>
    <xdr:pic>
      <xdr:nvPicPr>
        <xdr:cNvPr id="13" name="Picture 12">
          <a:extLst>
            <a:ext uri="{FF2B5EF4-FFF2-40B4-BE49-F238E27FC236}">
              <a16:creationId xmlns:a16="http://schemas.microsoft.com/office/drawing/2014/main" id="{39451013-0160-4953-B4EA-AE716B905AC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4300" y="593217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42</xdr:row>
      <xdr:rowOff>0</xdr:rowOff>
    </xdr:from>
    <xdr:to>
      <xdr:col>3</xdr:col>
      <xdr:colOff>15240</xdr:colOff>
      <xdr:row>45</xdr:row>
      <xdr:rowOff>15240</xdr:rowOff>
    </xdr:to>
    <xdr:pic>
      <xdr:nvPicPr>
        <xdr:cNvPr id="14" name="Picture 13">
          <a:extLst>
            <a:ext uri="{FF2B5EF4-FFF2-40B4-BE49-F238E27FC236}">
              <a16:creationId xmlns:a16="http://schemas.microsoft.com/office/drawing/2014/main" id="{B964A851-FC60-4D1E-A202-B9E8EDF4920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4300" y="784098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42</xdr:row>
      <xdr:rowOff>0</xdr:rowOff>
    </xdr:from>
    <xdr:to>
      <xdr:col>18</xdr:col>
      <xdr:colOff>15240</xdr:colOff>
      <xdr:row>45</xdr:row>
      <xdr:rowOff>15240</xdr:rowOff>
    </xdr:to>
    <xdr:pic>
      <xdr:nvPicPr>
        <xdr:cNvPr id="15" name="Picture 14">
          <a:extLst>
            <a:ext uri="{FF2B5EF4-FFF2-40B4-BE49-F238E27FC236}">
              <a16:creationId xmlns:a16="http://schemas.microsoft.com/office/drawing/2014/main" id="{8C7A6EA3-B6B0-4659-AB82-CAB49873572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481500" y="784098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42</xdr:row>
      <xdr:rowOff>0</xdr:rowOff>
    </xdr:from>
    <xdr:to>
      <xdr:col>33</xdr:col>
      <xdr:colOff>15240</xdr:colOff>
      <xdr:row>45</xdr:row>
      <xdr:rowOff>15240</xdr:rowOff>
    </xdr:to>
    <xdr:pic>
      <xdr:nvPicPr>
        <xdr:cNvPr id="16" name="Picture 15">
          <a:extLst>
            <a:ext uri="{FF2B5EF4-FFF2-40B4-BE49-F238E27FC236}">
              <a16:creationId xmlns:a16="http://schemas.microsoft.com/office/drawing/2014/main" id="{76950832-9975-4A48-B0C5-DFB6E00B7B0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4848700" y="784098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15240</xdr:colOff>
      <xdr:row>54</xdr:row>
      <xdr:rowOff>15240</xdr:rowOff>
    </xdr:to>
    <xdr:pic>
      <xdr:nvPicPr>
        <xdr:cNvPr id="17" name="Picture 16">
          <a:extLst>
            <a:ext uri="{FF2B5EF4-FFF2-40B4-BE49-F238E27FC236}">
              <a16:creationId xmlns:a16="http://schemas.microsoft.com/office/drawing/2014/main" id="{8E2118D0-1656-2374-47DE-2B2150BE5EE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1440" y="9686544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15240</xdr:colOff>
      <xdr:row>62</xdr:row>
      <xdr:rowOff>15240</xdr:rowOff>
    </xdr:to>
    <xdr:pic>
      <xdr:nvPicPr>
        <xdr:cNvPr id="18" name="Picture 17">
          <a:extLst>
            <a:ext uri="{FF2B5EF4-FFF2-40B4-BE49-F238E27FC236}">
              <a16:creationId xmlns:a16="http://schemas.microsoft.com/office/drawing/2014/main" id="{41552AFB-FA56-6CAF-335D-C2622F2B8D5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1440" y="1137970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5D773652-F575-4434-A8D6-5AEDEDB94650}"/>
            </a:ext>
          </a:extLst>
        </xdr:cNvPr>
        <xdr:cNvSpPr/>
      </xdr:nvSpPr>
      <xdr:spPr>
        <a:xfrm>
          <a:off x="25574625" y="0"/>
          <a:ext cx="2095499" cy="10572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6</xdr:row>
      <xdr:rowOff>0</xdr:rowOff>
    </xdr:from>
    <xdr:to>
      <xdr:col>3</xdr:col>
      <xdr:colOff>15240</xdr:colOff>
      <xdr:row>8</xdr:row>
      <xdr:rowOff>15240</xdr:rowOff>
    </xdr:to>
    <xdr:pic>
      <xdr:nvPicPr>
        <xdr:cNvPr id="3" name="Picture 2">
          <a:extLst>
            <a:ext uri="{FF2B5EF4-FFF2-40B4-BE49-F238E27FC236}">
              <a16:creationId xmlns:a16="http://schemas.microsoft.com/office/drawing/2014/main" id="{0C0FA3C1-C6A2-8AD0-51D1-5E2BF4EFE3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7620</xdr:colOff>
      <xdr:row>54</xdr:row>
      <xdr:rowOff>7620</xdr:rowOff>
    </xdr:to>
    <xdr:pic>
      <xdr:nvPicPr>
        <xdr:cNvPr id="16" name="Picture 15">
          <a:extLst>
            <a:ext uri="{FF2B5EF4-FFF2-40B4-BE49-F238E27FC236}">
              <a16:creationId xmlns:a16="http://schemas.microsoft.com/office/drawing/2014/main" id="{DE401377-A691-E5CE-3F0B-72E22599D26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440" y="96895920"/>
          <a:ext cx="4564380" cy="2926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7620</xdr:colOff>
      <xdr:row>62</xdr:row>
      <xdr:rowOff>7620</xdr:rowOff>
    </xdr:to>
    <xdr:pic>
      <xdr:nvPicPr>
        <xdr:cNvPr id="17" name="Picture 16">
          <a:extLst>
            <a:ext uri="{FF2B5EF4-FFF2-40B4-BE49-F238E27FC236}">
              <a16:creationId xmlns:a16="http://schemas.microsoft.com/office/drawing/2014/main" id="{AE58307C-8B78-9B15-2F4E-D6E9C41A783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 y="11319510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6</xdr:row>
      <xdr:rowOff>0</xdr:rowOff>
    </xdr:from>
    <xdr:to>
      <xdr:col>18</xdr:col>
      <xdr:colOff>15240</xdr:colOff>
      <xdr:row>8</xdr:row>
      <xdr:rowOff>15240</xdr:rowOff>
    </xdr:to>
    <xdr:pic>
      <xdr:nvPicPr>
        <xdr:cNvPr id="6" name="Picture 5">
          <a:extLst>
            <a:ext uri="{FF2B5EF4-FFF2-40B4-BE49-F238E27FC236}">
              <a16:creationId xmlns:a16="http://schemas.microsoft.com/office/drawing/2014/main" id="{9CFBF52E-7C96-44D2-8DDD-1D3D9ED6D8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8500" y="4953000"/>
          <a:ext cx="443484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6</xdr:row>
      <xdr:rowOff>0</xdr:rowOff>
    </xdr:from>
    <xdr:to>
      <xdr:col>33</xdr:col>
      <xdr:colOff>15240</xdr:colOff>
      <xdr:row>8</xdr:row>
      <xdr:rowOff>15240</xdr:rowOff>
    </xdr:to>
    <xdr:pic>
      <xdr:nvPicPr>
        <xdr:cNvPr id="18" name="Picture 17">
          <a:extLst>
            <a:ext uri="{FF2B5EF4-FFF2-40B4-BE49-F238E27FC236}">
              <a16:creationId xmlns:a16="http://schemas.microsoft.com/office/drawing/2014/main" id="{44B66EF0-2DCD-4809-81D8-CE5BB4BD4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600800" y="4953000"/>
          <a:ext cx="443484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22</xdr:row>
      <xdr:rowOff>0</xdr:rowOff>
    </xdr:from>
    <xdr:to>
      <xdr:col>3</xdr:col>
      <xdr:colOff>9525</xdr:colOff>
      <xdr:row>25</xdr:row>
      <xdr:rowOff>9525</xdr:rowOff>
    </xdr:to>
    <xdr:pic>
      <xdr:nvPicPr>
        <xdr:cNvPr id="19" name="Picture 18">
          <a:extLst>
            <a:ext uri="{FF2B5EF4-FFF2-40B4-BE49-F238E27FC236}">
              <a16:creationId xmlns:a16="http://schemas.microsoft.com/office/drawing/2014/main" id="{1F8DB043-7413-90C4-4D28-2DDBA371AD6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725" y="39957375"/>
          <a:ext cx="4438650" cy="303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22</xdr:row>
      <xdr:rowOff>0</xdr:rowOff>
    </xdr:from>
    <xdr:to>
      <xdr:col>18</xdr:col>
      <xdr:colOff>9525</xdr:colOff>
      <xdr:row>25</xdr:row>
      <xdr:rowOff>9525</xdr:rowOff>
    </xdr:to>
    <xdr:pic>
      <xdr:nvPicPr>
        <xdr:cNvPr id="20" name="Picture 19">
          <a:extLst>
            <a:ext uri="{FF2B5EF4-FFF2-40B4-BE49-F238E27FC236}">
              <a16:creationId xmlns:a16="http://schemas.microsoft.com/office/drawing/2014/main" id="{EFBB227E-C14F-4559-BE48-EEB41498A36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433750" y="40195500"/>
          <a:ext cx="4486275" cy="3152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22</xdr:row>
      <xdr:rowOff>0</xdr:rowOff>
    </xdr:from>
    <xdr:to>
      <xdr:col>33</xdr:col>
      <xdr:colOff>9525</xdr:colOff>
      <xdr:row>25</xdr:row>
      <xdr:rowOff>9525</xdr:rowOff>
    </xdr:to>
    <xdr:pic>
      <xdr:nvPicPr>
        <xdr:cNvPr id="21" name="Picture 20">
          <a:extLst>
            <a:ext uri="{FF2B5EF4-FFF2-40B4-BE49-F238E27FC236}">
              <a16:creationId xmlns:a16="http://schemas.microsoft.com/office/drawing/2014/main" id="{85AD92C7-5DD6-45AE-90DB-58BD3FD6605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772250" y="40195500"/>
          <a:ext cx="4486275" cy="3152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32</xdr:row>
      <xdr:rowOff>0</xdr:rowOff>
    </xdr:from>
    <xdr:to>
      <xdr:col>33</xdr:col>
      <xdr:colOff>9525</xdr:colOff>
      <xdr:row>35</xdr:row>
      <xdr:rowOff>9525</xdr:rowOff>
    </xdr:to>
    <xdr:pic>
      <xdr:nvPicPr>
        <xdr:cNvPr id="22" name="Picture 21">
          <a:extLst>
            <a:ext uri="{FF2B5EF4-FFF2-40B4-BE49-F238E27FC236}">
              <a16:creationId xmlns:a16="http://schemas.microsoft.com/office/drawing/2014/main" id="{09B3C73A-8FD9-4B40-AD90-5E30D53046D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772250" y="59436000"/>
          <a:ext cx="4486275" cy="3152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32</xdr:row>
      <xdr:rowOff>0</xdr:rowOff>
    </xdr:from>
    <xdr:to>
      <xdr:col>18</xdr:col>
      <xdr:colOff>9525</xdr:colOff>
      <xdr:row>35</xdr:row>
      <xdr:rowOff>9525</xdr:rowOff>
    </xdr:to>
    <xdr:pic>
      <xdr:nvPicPr>
        <xdr:cNvPr id="23" name="Picture 22">
          <a:extLst>
            <a:ext uri="{FF2B5EF4-FFF2-40B4-BE49-F238E27FC236}">
              <a16:creationId xmlns:a16="http://schemas.microsoft.com/office/drawing/2014/main" id="{35DD62E1-4D63-4879-B942-F8B43D1370B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433750" y="59436000"/>
          <a:ext cx="4486275" cy="3152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32</xdr:row>
      <xdr:rowOff>0</xdr:rowOff>
    </xdr:from>
    <xdr:to>
      <xdr:col>3</xdr:col>
      <xdr:colOff>9525</xdr:colOff>
      <xdr:row>35</xdr:row>
      <xdr:rowOff>9525</xdr:rowOff>
    </xdr:to>
    <xdr:pic>
      <xdr:nvPicPr>
        <xdr:cNvPr id="24" name="Picture 23">
          <a:extLst>
            <a:ext uri="{FF2B5EF4-FFF2-40B4-BE49-F238E27FC236}">
              <a16:creationId xmlns:a16="http://schemas.microsoft.com/office/drawing/2014/main" id="{32A273BF-09E1-4403-8271-4950F1A7583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5250" y="59436000"/>
          <a:ext cx="4486275" cy="3152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42</xdr:row>
      <xdr:rowOff>0</xdr:rowOff>
    </xdr:from>
    <xdr:to>
      <xdr:col>3</xdr:col>
      <xdr:colOff>9525</xdr:colOff>
      <xdr:row>45</xdr:row>
      <xdr:rowOff>9525</xdr:rowOff>
    </xdr:to>
    <xdr:pic>
      <xdr:nvPicPr>
        <xdr:cNvPr id="25" name="Picture 24">
          <a:extLst>
            <a:ext uri="{FF2B5EF4-FFF2-40B4-BE49-F238E27FC236}">
              <a16:creationId xmlns:a16="http://schemas.microsoft.com/office/drawing/2014/main" id="{91A43AD9-6F93-4411-A824-3855DB6FDE8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5250" y="78771750"/>
          <a:ext cx="4486275" cy="3152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42</xdr:row>
      <xdr:rowOff>0</xdr:rowOff>
    </xdr:from>
    <xdr:to>
      <xdr:col>18</xdr:col>
      <xdr:colOff>9525</xdr:colOff>
      <xdr:row>45</xdr:row>
      <xdr:rowOff>9525</xdr:rowOff>
    </xdr:to>
    <xdr:pic>
      <xdr:nvPicPr>
        <xdr:cNvPr id="26" name="Picture 25">
          <a:extLst>
            <a:ext uri="{FF2B5EF4-FFF2-40B4-BE49-F238E27FC236}">
              <a16:creationId xmlns:a16="http://schemas.microsoft.com/office/drawing/2014/main" id="{6E309DF9-FBD4-4CA7-8139-B549C8470AD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433750" y="78771750"/>
          <a:ext cx="4486275" cy="3152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42</xdr:row>
      <xdr:rowOff>0</xdr:rowOff>
    </xdr:from>
    <xdr:to>
      <xdr:col>33</xdr:col>
      <xdr:colOff>9525</xdr:colOff>
      <xdr:row>45</xdr:row>
      <xdr:rowOff>9525</xdr:rowOff>
    </xdr:to>
    <xdr:pic>
      <xdr:nvPicPr>
        <xdr:cNvPr id="27" name="Picture 26">
          <a:extLst>
            <a:ext uri="{FF2B5EF4-FFF2-40B4-BE49-F238E27FC236}">
              <a16:creationId xmlns:a16="http://schemas.microsoft.com/office/drawing/2014/main" id="{D97BDA94-7FB9-4B0F-A421-B5E030C3DF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772250" y="78771750"/>
          <a:ext cx="4486275" cy="3152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0</xdr:colOff>
      <xdr:row>0</xdr:row>
      <xdr:rowOff>0</xdr:rowOff>
    </xdr:from>
    <xdr:to>
      <xdr:col>12</xdr:col>
      <xdr:colOff>2095499</xdr:colOff>
      <xdr:row>3</xdr:row>
      <xdr:rowOff>-1</xdr:rowOff>
    </xdr:to>
    <xdr:sp macro="" textlink="">
      <xdr:nvSpPr>
        <xdr:cNvPr id="5" name="Rectangle 4" descr="Tab Link to Table of Contents">
          <a:hlinkClick xmlns:r="http://schemas.openxmlformats.org/officeDocument/2006/relationships" r:id="rId1"/>
          <a:extLst>
            <a:ext uri="{FF2B5EF4-FFF2-40B4-BE49-F238E27FC236}">
              <a16:creationId xmlns:a16="http://schemas.microsoft.com/office/drawing/2014/main" id="{8ECE4780-524E-48D3-8568-1E2583211EBD}"/>
            </a:ext>
          </a:extLst>
        </xdr:cNvPr>
        <xdr:cNvSpPr/>
      </xdr:nvSpPr>
      <xdr:spPr>
        <a:xfrm>
          <a:off x="31613475" y="0"/>
          <a:ext cx="2095499" cy="13239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B818AB34-4FF9-4961-8855-C513F6EACD9C}"/>
            </a:ext>
          </a:extLst>
        </xdr:cNvPr>
        <xdr:cNvSpPr/>
      </xdr:nvSpPr>
      <xdr:spPr>
        <a:xfrm>
          <a:off x="25574625" y="0"/>
          <a:ext cx="2095499" cy="10572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5</xdr:row>
      <xdr:rowOff>2228850</xdr:rowOff>
    </xdr:from>
    <xdr:to>
      <xdr:col>3</xdr:col>
      <xdr:colOff>19050</xdr:colOff>
      <xdr:row>8</xdr:row>
      <xdr:rowOff>0</xdr:rowOff>
    </xdr:to>
    <xdr:pic>
      <xdr:nvPicPr>
        <xdr:cNvPr id="3" name="Picture 2">
          <a:extLst>
            <a:ext uri="{FF2B5EF4-FFF2-40B4-BE49-F238E27FC236}">
              <a16:creationId xmlns:a16="http://schemas.microsoft.com/office/drawing/2014/main" id="{15867CB5-00B4-AA71-7BD3-4B6F59066E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4933950"/>
          <a:ext cx="45910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5</xdr:row>
      <xdr:rowOff>2228850</xdr:rowOff>
    </xdr:from>
    <xdr:to>
      <xdr:col>18</xdr:col>
      <xdr:colOff>19050</xdr:colOff>
      <xdr:row>8</xdr:row>
      <xdr:rowOff>0</xdr:rowOff>
    </xdr:to>
    <xdr:pic>
      <xdr:nvPicPr>
        <xdr:cNvPr id="4" name="Picture 3">
          <a:extLst>
            <a:ext uri="{FF2B5EF4-FFF2-40B4-BE49-F238E27FC236}">
              <a16:creationId xmlns:a16="http://schemas.microsoft.com/office/drawing/2014/main" id="{725FE8D5-2C06-532B-19A7-BBB2221FBF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481500" y="4933950"/>
          <a:ext cx="45910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6</xdr:row>
      <xdr:rowOff>0</xdr:rowOff>
    </xdr:from>
    <xdr:to>
      <xdr:col>33</xdr:col>
      <xdr:colOff>15240</xdr:colOff>
      <xdr:row>8</xdr:row>
      <xdr:rowOff>15240</xdr:rowOff>
    </xdr:to>
    <xdr:pic>
      <xdr:nvPicPr>
        <xdr:cNvPr id="6" name="Picture 5">
          <a:extLst>
            <a:ext uri="{FF2B5EF4-FFF2-40B4-BE49-F238E27FC236}">
              <a16:creationId xmlns:a16="http://schemas.microsoft.com/office/drawing/2014/main" id="{BF66F02E-50D1-8D83-F733-955AAB067A9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493252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22</xdr:row>
      <xdr:rowOff>0</xdr:rowOff>
    </xdr:from>
    <xdr:ext cx="4591050" cy="3219450"/>
    <xdr:pic>
      <xdr:nvPicPr>
        <xdr:cNvPr id="11" name="Picture 10">
          <a:extLst>
            <a:ext uri="{FF2B5EF4-FFF2-40B4-BE49-F238E27FC236}">
              <a16:creationId xmlns:a16="http://schemas.microsoft.com/office/drawing/2014/main" id="{F4E56CC5-948F-4FF9-A2C1-91653B35ABA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4300" y="40233600"/>
          <a:ext cx="4591050" cy="3219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31</xdr:col>
      <xdr:colOff>0</xdr:colOff>
      <xdr:row>32</xdr:row>
      <xdr:rowOff>0</xdr:rowOff>
    </xdr:from>
    <xdr:to>
      <xdr:col>33</xdr:col>
      <xdr:colOff>15240</xdr:colOff>
      <xdr:row>35</xdr:row>
      <xdr:rowOff>15240</xdr:rowOff>
    </xdr:to>
    <xdr:pic>
      <xdr:nvPicPr>
        <xdr:cNvPr id="23" name="Picture 22">
          <a:extLst>
            <a:ext uri="{FF2B5EF4-FFF2-40B4-BE49-F238E27FC236}">
              <a16:creationId xmlns:a16="http://schemas.microsoft.com/office/drawing/2014/main" id="{044EB009-16F2-1369-163A-B07C96BF4B9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4848700" y="59436000"/>
          <a:ext cx="4587240" cy="3101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32</xdr:row>
      <xdr:rowOff>0</xdr:rowOff>
    </xdr:from>
    <xdr:to>
      <xdr:col>18</xdr:col>
      <xdr:colOff>7620</xdr:colOff>
      <xdr:row>35</xdr:row>
      <xdr:rowOff>7620</xdr:rowOff>
    </xdr:to>
    <xdr:pic>
      <xdr:nvPicPr>
        <xdr:cNvPr id="25" name="Picture 24">
          <a:extLst>
            <a:ext uri="{FF2B5EF4-FFF2-40B4-BE49-F238E27FC236}">
              <a16:creationId xmlns:a16="http://schemas.microsoft.com/office/drawing/2014/main" id="{39435AAD-119F-97CE-FA4F-6320BEDE19F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2511980" y="59115960"/>
          <a:ext cx="4564380" cy="304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32</xdr:row>
      <xdr:rowOff>0</xdr:rowOff>
    </xdr:from>
    <xdr:to>
      <xdr:col>3</xdr:col>
      <xdr:colOff>7620</xdr:colOff>
      <xdr:row>35</xdr:row>
      <xdr:rowOff>7620</xdr:rowOff>
    </xdr:to>
    <xdr:pic>
      <xdr:nvPicPr>
        <xdr:cNvPr id="26" name="Picture 25">
          <a:extLst>
            <a:ext uri="{FF2B5EF4-FFF2-40B4-BE49-F238E27FC236}">
              <a16:creationId xmlns:a16="http://schemas.microsoft.com/office/drawing/2014/main" id="{DB098D9C-2113-E35C-9478-88D360869EC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91440" y="59115960"/>
          <a:ext cx="4564380" cy="304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22</xdr:row>
      <xdr:rowOff>0</xdr:rowOff>
    </xdr:from>
    <xdr:to>
      <xdr:col>18</xdr:col>
      <xdr:colOff>7620</xdr:colOff>
      <xdr:row>25</xdr:row>
      <xdr:rowOff>7620</xdr:rowOff>
    </xdr:to>
    <xdr:pic>
      <xdr:nvPicPr>
        <xdr:cNvPr id="29" name="Picture 28">
          <a:extLst>
            <a:ext uri="{FF2B5EF4-FFF2-40B4-BE49-F238E27FC236}">
              <a16:creationId xmlns:a16="http://schemas.microsoft.com/office/drawing/2014/main" id="{9221B603-98F6-EF8B-DC45-8D5B26BE2D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2511980" y="39989760"/>
          <a:ext cx="4564380" cy="3215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22</xdr:row>
      <xdr:rowOff>0</xdr:rowOff>
    </xdr:from>
    <xdr:to>
      <xdr:col>33</xdr:col>
      <xdr:colOff>7620</xdr:colOff>
      <xdr:row>25</xdr:row>
      <xdr:rowOff>7620</xdr:rowOff>
    </xdr:to>
    <xdr:pic>
      <xdr:nvPicPr>
        <xdr:cNvPr id="31" name="Picture 30">
          <a:extLst>
            <a:ext uri="{FF2B5EF4-FFF2-40B4-BE49-F238E27FC236}">
              <a16:creationId xmlns:a16="http://schemas.microsoft.com/office/drawing/2014/main" id="{BDB936D9-8118-6CF9-1480-56EDFBCB91F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4932520" y="39989760"/>
          <a:ext cx="4564380" cy="32156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42</xdr:row>
      <xdr:rowOff>0</xdr:rowOff>
    </xdr:from>
    <xdr:to>
      <xdr:col>33</xdr:col>
      <xdr:colOff>7620</xdr:colOff>
      <xdr:row>45</xdr:row>
      <xdr:rowOff>7620</xdr:rowOff>
    </xdr:to>
    <xdr:pic>
      <xdr:nvPicPr>
        <xdr:cNvPr id="32" name="Picture 31">
          <a:extLst>
            <a:ext uri="{FF2B5EF4-FFF2-40B4-BE49-F238E27FC236}">
              <a16:creationId xmlns:a16="http://schemas.microsoft.com/office/drawing/2014/main" id="{851BAA3B-75DF-4562-64FC-EB3891AEB08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4932520" y="78074520"/>
          <a:ext cx="4564380" cy="304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42</xdr:row>
      <xdr:rowOff>0</xdr:rowOff>
    </xdr:from>
    <xdr:to>
      <xdr:col>33</xdr:col>
      <xdr:colOff>7620</xdr:colOff>
      <xdr:row>45</xdr:row>
      <xdr:rowOff>7620</xdr:rowOff>
    </xdr:to>
    <xdr:pic>
      <xdr:nvPicPr>
        <xdr:cNvPr id="33" name="Picture 32">
          <a:extLst>
            <a:ext uri="{FF2B5EF4-FFF2-40B4-BE49-F238E27FC236}">
              <a16:creationId xmlns:a16="http://schemas.microsoft.com/office/drawing/2014/main" id="{CBC3E679-2BC4-E761-2B5B-7375C85E4909}"/>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84932520" y="78074520"/>
          <a:ext cx="4564380" cy="304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42</xdr:row>
      <xdr:rowOff>0</xdr:rowOff>
    </xdr:from>
    <xdr:to>
      <xdr:col>18</xdr:col>
      <xdr:colOff>9525</xdr:colOff>
      <xdr:row>45</xdr:row>
      <xdr:rowOff>9525</xdr:rowOff>
    </xdr:to>
    <xdr:pic>
      <xdr:nvPicPr>
        <xdr:cNvPr id="34" name="Picture 33">
          <a:extLst>
            <a:ext uri="{FF2B5EF4-FFF2-40B4-BE49-F238E27FC236}">
              <a16:creationId xmlns:a16="http://schemas.microsoft.com/office/drawing/2014/main" id="{80902DAE-8DDD-4F6E-8AFC-55289F935FCE}"/>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42481500" y="785241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42</xdr:row>
      <xdr:rowOff>0</xdr:rowOff>
    </xdr:from>
    <xdr:to>
      <xdr:col>3</xdr:col>
      <xdr:colOff>9525</xdr:colOff>
      <xdr:row>45</xdr:row>
      <xdr:rowOff>9525</xdr:rowOff>
    </xdr:to>
    <xdr:pic>
      <xdr:nvPicPr>
        <xdr:cNvPr id="35" name="Picture 34">
          <a:extLst>
            <a:ext uri="{FF2B5EF4-FFF2-40B4-BE49-F238E27FC236}">
              <a16:creationId xmlns:a16="http://schemas.microsoft.com/office/drawing/2014/main" id="{5EFF910C-083D-460B-9877-0B5CD1F238BB}"/>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4300" y="78524100"/>
          <a:ext cx="45815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7620</xdr:colOff>
      <xdr:row>54</xdr:row>
      <xdr:rowOff>7620</xdr:rowOff>
    </xdr:to>
    <xdr:pic>
      <xdr:nvPicPr>
        <xdr:cNvPr id="37" name="Picture 36">
          <a:extLst>
            <a:ext uri="{FF2B5EF4-FFF2-40B4-BE49-F238E27FC236}">
              <a16:creationId xmlns:a16="http://schemas.microsoft.com/office/drawing/2014/main" id="{21727ADD-3502-D760-668A-696AEEDFD8BF}"/>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91440" y="970330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7620</xdr:colOff>
      <xdr:row>62</xdr:row>
      <xdr:rowOff>7620</xdr:rowOff>
    </xdr:to>
    <xdr:pic>
      <xdr:nvPicPr>
        <xdr:cNvPr id="38" name="Picture 37">
          <a:extLst>
            <a:ext uri="{FF2B5EF4-FFF2-40B4-BE49-F238E27FC236}">
              <a16:creationId xmlns:a16="http://schemas.microsoft.com/office/drawing/2014/main" id="{7CB46A8A-EB14-8411-6F22-C7B8B43D88DD}"/>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1440" y="11396472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7620</xdr:colOff>
      <xdr:row>62</xdr:row>
      <xdr:rowOff>7620</xdr:rowOff>
    </xdr:to>
    <xdr:pic>
      <xdr:nvPicPr>
        <xdr:cNvPr id="39" name="Picture 38">
          <a:extLst>
            <a:ext uri="{FF2B5EF4-FFF2-40B4-BE49-F238E27FC236}">
              <a16:creationId xmlns:a16="http://schemas.microsoft.com/office/drawing/2014/main" id="{A786911C-E43E-F127-2B30-1418D96DF3F7}"/>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91440" y="11396472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0</xdr:colOff>
      <xdr:row>0</xdr:row>
      <xdr:rowOff>0</xdr:rowOff>
    </xdr:from>
    <xdr:to>
      <xdr:col>12</xdr:col>
      <xdr:colOff>2095499</xdr:colOff>
      <xdr:row>3</xdr:row>
      <xdr:rowOff>-1</xdr:rowOff>
    </xdr:to>
    <xdr:sp macro="" textlink="">
      <xdr:nvSpPr>
        <xdr:cNvPr id="8" name="Rectangle 7" descr="Tab Link to Table of Contents">
          <a:hlinkClick xmlns:r="http://schemas.openxmlformats.org/officeDocument/2006/relationships" r:id="rId1"/>
          <a:extLst>
            <a:ext uri="{FF2B5EF4-FFF2-40B4-BE49-F238E27FC236}">
              <a16:creationId xmlns:a16="http://schemas.microsoft.com/office/drawing/2014/main" id="{33863833-7626-4CF6-8458-20D15A8DCA3D}"/>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12</xdr:col>
      <xdr:colOff>0</xdr:colOff>
      <xdr:row>0</xdr:row>
      <xdr:rowOff>0</xdr:rowOff>
    </xdr:from>
    <xdr:to>
      <xdr:col>12</xdr:col>
      <xdr:colOff>2095499</xdr:colOff>
      <xdr:row>3</xdr:row>
      <xdr:rowOff>-1</xdr:rowOff>
    </xdr:to>
    <xdr:sp macro="" textlink="">
      <xdr:nvSpPr>
        <xdr:cNvPr id="9" name="Rectangle 8" descr="Tab Link to Table of Contents">
          <a:hlinkClick xmlns:r="http://schemas.openxmlformats.org/officeDocument/2006/relationships" r:id="rId1"/>
          <a:extLst>
            <a:ext uri="{FF2B5EF4-FFF2-40B4-BE49-F238E27FC236}">
              <a16:creationId xmlns:a16="http://schemas.microsoft.com/office/drawing/2014/main" id="{5C483E10-134D-44AB-92D3-D32884E3A7D8}"/>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6DD0BA8F-7088-4B92-9A50-D43D95BB9340}"/>
            </a:ext>
          </a:extLst>
        </xdr:cNvPr>
        <xdr:cNvSpPr/>
      </xdr:nvSpPr>
      <xdr:spPr>
        <a:xfrm>
          <a:off x="25574625" y="0"/>
          <a:ext cx="2095499" cy="10572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6</xdr:row>
      <xdr:rowOff>0</xdr:rowOff>
    </xdr:from>
    <xdr:to>
      <xdr:col>3</xdr:col>
      <xdr:colOff>15240</xdr:colOff>
      <xdr:row>8</xdr:row>
      <xdr:rowOff>15240</xdr:rowOff>
    </xdr:to>
    <xdr:pic>
      <xdr:nvPicPr>
        <xdr:cNvPr id="3" name="Picture 2">
          <a:extLst>
            <a:ext uri="{FF2B5EF4-FFF2-40B4-BE49-F238E27FC236}">
              <a16:creationId xmlns:a16="http://schemas.microsoft.com/office/drawing/2014/main" id="{567CD914-9C0D-C4F3-49A7-2B0B706A07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7620</xdr:colOff>
      <xdr:row>54</xdr:row>
      <xdr:rowOff>7620</xdr:rowOff>
    </xdr:to>
    <xdr:pic>
      <xdr:nvPicPr>
        <xdr:cNvPr id="15" name="Picture 14">
          <a:extLst>
            <a:ext uri="{FF2B5EF4-FFF2-40B4-BE49-F238E27FC236}">
              <a16:creationId xmlns:a16="http://schemas.microsoft.com/office/drawing/2014/main" id="{60DB3BB8-DEA9-EF0E-F933-8DE74CEA660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440" y="9686544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7620</xdr:colOff>
      <xdr:row>62</xdr:row>
      <xdr:rowOff>7620</xdr:rowOff>
    </xdr:to>
    <xdr:pic>
      <xdr:nvPicPr>
        <xdr:cNvPr id="16" name="Picture 15">
          <a:extLst>
            <a:ext uri="{FF2B5EF4-FFF2-40B4-BE49-F238E27FC236}">
              <a16:creationId xmlns:a16="http://schemas.microsoft.com/office/drawing/2014/main" id="{86EED0FA-DFA7-7325-6859-1E1D484006F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 y="1137970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6</xdr:row>
      <xdr:rowOff>0</xdr:rowOff>
    </xdr:from>
    <xdr:to>
      <xdr:col>18</xdr:col>
      <xdr:colOff>15240</xdr:colOff>
      <xdr:row>8</xdr:row>
      <xdr:rowOff>15240</xdr:rowOff>
    </xdr:to>
    <xdr:pic>
      <xdr:nvPicPr>
        <xdr:cNvPr id="17" name="Picture 16">
          <a:extLst>
            <a:ext uri="{FF2B5EF4-FFF2-40B4-BE49-F238E27FC236}">
              <a16:creationId xmlns:a16="http://schemas.microsoft.com/office/drawing/2014/main" id="{BA7AAA9B-3642-4CD8-B8B5-32D9827403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433750" y="4667250"/>
          <a:ext cx="4491990" cy="27774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6</xdr:row>
      <xdr:rowOff>0</xdr:rowOff>
    </xdr:from>
    <xdr:to>
      <xdr:col>33</xdr:col>
      <xdr:colOff>15240</xdr:colOff>
      <xdr:row>8</xdr:row>
      <xdr:rowOff>15240</xdr:rowOff>
    </xdr:to>
    <xdr:pic>
      <xdr:nvPicPr>
        <xdr:cNvPr id="18" name="Picture 17">
          <a:extLst>
            <a:ext uri="{FF2B5EF4-FFF2-40B4-BE49-F238E27FC236}">
              <a16:creationId xmlns:a16="http://schemas.microsoft.com/office/drawing/2014/main" id="{52916569-704C-4C44-99C0-C4F6B24DF3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772250" y="4667250"/>
          <a:ext cx="4491990" cy="27774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22</xdr:row>
      <xdr:rowOff>0</xdr:rowOff>
    </xdr:from>
    <xdr:to>
      <xdr:col>3</xdr:col>
      <xdr:colOff>9525</xdr:colOff>
      <xdr:row>25</xdr:row>
      <xdr:rowOff>9525</xdr:rowOff>
    </xdr:to>
    <xdr:pic>
      <xdr:nvPicPr>
        <xdr:cNvPr id="20" name="Picture 19">
          <a:extLst>
            <a:ext uri="{FF2B5EF4-FFF2-40B4-BE49-F238E27FC236}">
              <a16:creationId xmlns:a16="http://schemas.microsoft.com/office/drawing/2014/main" id="{47435DBF-8A62-BBF3-2009-4D1AC38E6D7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725" y="39957375"/>
          <a:ext cx="4438650" cy="303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22</xdr:row>
      <xdr:rowOff>0</xdr:rowOff>
    </xdr:from>
    <xdr:to>
      <xdr:col>18</xdr:col>
      <xdr:colOff>9525</xdr:colOff>
      <xdr:row>25</xdr:row>
      <xdr:rowOff>9525</xdr:rowOff>
    </xdr:to>
    <xdr:pic>
      <xdr:nvPicPr>
        <xdr:cNvPr id="21" name="Picture 20">
          <a:extLst>
            <a:ext uri="{FF2B5EF4-FFF2-40B4-BE49-F238E27FC236}">
              <a16:creationId xmlns:a16="http://schemas.microsoft.com/office/drawing/2014/main" id="{D0265C21-947D-4FA0-9BC9-5A33FE2E930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3385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22</xdr:row>
      <xdr:rowOff>0</xdr:rowOff>
    </xdr:from>
    <xdr:to>
      <xdr:col>33</xdr:col>
      <xdr:colOff>9525</xdr:colOff>
      <xdr:row>25</xdr:row>
      <xdr:rowOff>9525</xdr:rowOff>
    </xdr:to>
    <xdr:pic>
      <xdr:nvPicPr>
        <xdr:cNvPr id="22" name="Picture 21">
          <a:extLst>
            <a:ext uri="{FF2B5EF4-FFF2-40B4-BE49-F238E27FC236}">
              <a16:creationId xmlns:a16="http://schemas.microsoft.com/office/drawing/2014/main" id="{1D76B2C2-A41B-4BE2-98FF-74D6255060D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6008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32</xdr:row>
      <xdr:rowOff>0</xdr:rowOff>
    </xdr:from>
    <xdr:to>
      <xdr:col>33</xdr:col>
      <xdr:colOff>9525</xdr:colOff>
      <xdr:row>35</xdr:row>
      <xdr:rowOff>9525</xdr:rowOff>
    </xdr:to>
    <xdr:pic>
      <xdr:nvPicPr>
        <xdr:cNvPr id="23" name="Picture 22">
          <a:extLst>
            <a:ext uri="{FF2B5EF4-FFF2-40B4-BE49-F238E27FC236}">
              <a16:creationId xmlns:a16="http://schemas.microsoft.com/office/drawing/2014/main" id="{91F9B0B2-E85F-4A29-A7F9-EED75B11376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600800" y="593217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32</xdr:row>
      <xdr:rowOff>0</xdr:rowOff>
    </xdr:from>
    <xdr:to>
      <xdr:col>18</xdr:col>
      <xdr:colOff>9525</xdr:colOff>
      <xdr:row>35</xdr:row>
      <xdr:rowOff>9525</xdr:rowOff>
    </xdr:to>
    <xdr:pic>
      <xdr:nvPicPr>
        <xdr:cNvPr id="24" name="Picture 23">
          <a:extLst>
            <a:ext uri="{FF2B5EF4-FFF2-40B4-BE49-F238E27FC236}">
              <a16:creationId xmlns:a16="http://schemas.microsoft.com/office/drawing/2014/main" id="{BCAB638D-A7CD-4E96-B2A8-3385FC045EB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338500" y="593217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42</xdr:row>
      <xdr:rowOff>0</xdr:rowOff>
    </xdr:from>
    <xdr:to>
      <xdr:col>33</xdr:col>
      <xdr:colOff>9525</xdr:colOff>
      <xdr:row>45</xdr:row>
      <xdr:rowOff>9525</xdr:rowOff>
    </xdr:to>
    <xdr:pic>
      <xdr:nvPicPr>
        <xdr:cNvPr id="25" name="Picture 24">
          <a:extLst>
            <a:ext uri="{FF2B5EF4-FFF2-40B4-BE49-F238E27FC236}">
              <a16:creationId xmlns:a16="http://schemas.microsoft.com/office/drawing/2014/main" id="{234B082F-ED65-446C-9DE3-C88BCBE59C0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600800" y="784098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42</xdr:row>
      <xdr:rowOff>0</xdr:rowOff>
    </xdr:from>
    <xdr:to>
      <xdr:col>18</xdr:col>
      <xdr:colOff>9525</xdr:colOff>
      <xdr:row>45</xdr:row>
      <xdr:rowOff>9525</xdr:rowOff>
    </xdr:to>
    <xdr:pic>
      <xdr:nvPicPr>
        <xdr:cNvPr id="26" name="Picture 25">
          <a:extLst>
            <a:ext uri="{FF2B5EF4-FFF2-40B4-BE49-F238E27FC236}">
              <a16:creationId xmlns:a16="http://schemas.microsoft.com/office/drawing/2014/main" id="{836F1D6E-36F8-4F34-8CD1-65F3608225E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338500" y="784098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42</xdr:row>
      <xdr:rowOff>0</xdr:rowOff>
    </xdr:from>
    <xdr:to>
      <xdr:col>3</xdr:col>
      <xdr:colOff>9525</xdr:colOff>
      <xdr:row>45</xdr:row>
      <xdr:rowOff>9525</xdr:rowOff>
    </xdr:to>
    <xdr:pic>
      <xdr:nvPicPr>
        <xdr:cNvPr id="27" name="Picture 26">
          <a:extLst>
            <a:ext uri="{FF2B5EF4-FFF2-40B4-BE49-F238E27FC236}">
              <a16:creationId xmlns:a16="http://schemas.microsoft.com/office/drawing/2014/main" id="{56441F38-DC7F-4BDE-8D5D-632380C099F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784098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32</xdr:row>
      <xdr:rowOff>0</xdr:rowOff>
    </xdr:from>
    <xdr:to>
      <xdr:col>3</xdr:col>
      <xdr:colOff>9525</xdr:colOff>
      <xdr:row>35</xdr:row>
      <xdr:rowOff>9525</xdr:rowOff>
    </xdr:to>
    <xdr:pic>
      <xdr:nvPicPr>
        <xdr:cNvPr id="28" name="Picture 27">
          <a:extLst>
            <a:ext uri="{FF2B5EF4-FFF2-40B4-BE49-F238E27FC236}">
              <a16:creationId xmlns:a16="http://schemas.microsoft.com/office/drawing/2014/main" id="{3E4C31DC-7FA8-4248-8601-F4A85F43878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593217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0</xdr:colOff>
      <xdr:row>0</xdr:row>
      <xdr:rowOff>0</xdr:rowOff>
    </xdr:from>
    <xdr:to>
      <xdr:col>12</xdr:col>
      <xdr:colOff>2095499</xdr:colOff>
      <xdr:row>3</xdr:row>
      <xdr:rowOff>-1</xdr:rowOff>
    </xdr:to>
    <xdr:sp macro="" textlink="">
      <xdr:nvSpPr>
        <xdr:cNvPr id="6" name="Rectangle 5" descr="Tab Link to Table of Contents">
          <a:hlinkClick xmlns:r="http://schemas.openxmlformats.org/officeDocument/2006/relationships" r:id="rId1"/>
          <a:extLst>
            <a:ext uri="{FF2B5EF4-FFF2-40B4-BE49-F238E27FC236}">
              <a16:creationId xmlns:a16="http://schemas.microsoft.com/office/drawing/2014/main" id="{5EFFA257-C6C1-4134-AF07-663B274A8870}"/>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12</xdr:col>
      <xdr:colOff>0</xdr:colOff>
      <xdr:row>0</xdr:row>
      <xdr:rowOff>0</xdr:rowOff>
    </xdr:from>
    <xdr:to>
      <xdr:col>12</xdr:col>
      <xdr:colOff>2095499</xdr:colOff>
      <xdr:row>3</xdr:row>
      <xdr:rowOff>-1</xdr:rowOff>
    </xdr:to>
    <xdr:sp macro="" textlink="">
      <xdr:nvSpPr>
        <xdr:cNvPr id="7" name="Rectangle 6" descr="Tab Link to Table of Contents">
          <a:hlinkClick xmlns:r="http://schemas.openxmlformats.org/officeDocument/2006/relationships" r:id="rId1"/>
          <a:extLst>
            <a:ext uri="{FF2B5EF4-FFF2-40B4-BE49-F238E27FC236}">
              <a16:creationId xmlns:a16="http://schemas.microsoft.com/office/drawing/2014/main" id="{57218657-75B9-4CF4-B93F-331FF4948639}"/>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8F53D3C9-4A05-4658-A7F2-5CE57C8B6F04}"/>
            </a:ext>
          </a:extLst>
        </xdr:cNvPr>
        <xdr:cNvSpPr/>
      </xdr:nvSpPr>
      <xdr:spPr>
        <a:xfrm>
          <a:off x="25574625" y="0"/>
          <a:ext cx="2095499" cy="10572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6</xdr:row>
      <xdr:rowOff>0</xdr:rowOff>
    </xdr:from>
    <xdr:to>
      <xdr:col>3</xdr:col>
      <xdr:colOff>19050</xdr:colOff>
      <xdr:row>8</xdr:row>
      <xdr:rowOff>19050</xdr:rowOff>
    </xdr:to>
    <xdr:pic>
      <xdr:nvPicPr>
        <xdr:cNvPr id="3" name="Picture 2">
          <a:extLst>
            <a:ext uri="{FF2B5EF4-FFF2-40B4-BE49-F238E27FC236}">
              <a16:creationId xmlns:a16="http://schemas.microsoft.com/office/drawing/2014/main" id="{3D1942F1-5C75-421A-7A0D-2D12D0F8F0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7620</xdr:colOff>
      <xdr:row>54</xdr:row>
      <xdr:rowOff>7620</xdr:rowOff>
    </xdr:to>
    <xdr:pic>
      <xdr:nvPicPr>
        <xdr:cNvPr id="15" name="Picture 14">
          <a:extLst>
            <a:ext uri="{FF2B5EF4-FFF2-40B4-BE49-F238E27FC236}">
              <a16:creationId xmlns:a16="http://schemas.microsoft.com/office/drawing/2014/main" id="{6CCDFCE2-9CD4-EA7C-A0E8-F258C94595A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440" y="9686544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7620</xdr:colOff>
      <xdr:row>62</xdr:row>
      <xdr:rowOff>7620</xdr:rowOff>
    </xdr:to>
    <xdr:pic>
      <xdr:nvPicPr>
        <xdr:cNvPr id="16" name="Picture 15">
          <a:extLst>
            <a:ext uri="{FF2B5EF4-FFF2-40B4-BE49-F238E27FC236}">
              <a16:creationId xmlns:a16="http://schemas.microsoft.com/office/drawing/2014/main" id="{3C6310A4-A754-6D67-0E55-CE87C479A09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 y="1137970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6</xdr:row>
      <xdr:rowOff>0</xdr:rowOff>
    </xdr:from>
    <xdr:to>
      <xdr:col>18</xdr:col>
      <xdr:colOff>19050</xdr:colOff>
      <xdr:row>8</xdr:row>
      <xdr:rowOff>19050</xdr:rowOff>
    </xdr:to>
    <xdr:pic>
      <xdr:nvPicPr>
        <xdr:cNvPr id="17" name="Picture 16">
          <a:extLst>
            <a:ext uri="{FF2B5EF4-FFF2-40B4-BE49-F238E27FC236}">
              <a16:creationId xmlns:a16="http://schemas.microsoft.com/office/drawing/2014/main" id="{AB10BE69-8E5A-4643-AE36-7A267FA793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8500" y="4953000"/>
          <a:ext cx="44386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6</xdr:row>
      <xdr:rowOff>0</xdr:rowOff>
    </xdr:from>
    <xdr:to>
      <xdr:col>33</xdr:col>
      <xdr:colOff>19050</xdr:colOff>
      <xdr:row>8</xdr:row>
      <xdr:rowOff>19050</xdr:rowOff>
    </xdr:to>
    <xdr:pic>
      <xdr:nvPicPr>
        <xdr:cNvPr id="18" name="Picture 17">
          <a:extLst>
            <a:ext uri="{FF2B5EF4-FFF2-40B4-BE49-F238E27FC236}">
              <a16:creationId xmlns:a16="http://schemas.microsoft.com/office/drawing/2014/main" id="{784AE2D4-09F8-4263-9B87-0DC928168C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600800" y="4953000"/>
          <a:ext cx="44386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22</xdr:row>
      <xdr:rowOff>0</xdr:rowOff>
    </xdr:from>
    <xdr:to>
      <xdr:col>3</xdr:col>
      <xdr:colOff>9525</xdr:colOff>
      <xdr:row>25</xdr:row>
      <xdr:rowOff>9525</xdr:rowOff>
    </xdr:to>
    <xdr:pic>
      <xdr:nvPicPr>
        <xdr:cNvPr id="20" name="Picture 19">
          <a:extLst>
            <a:ext uri="{FF2B5EF4-FFF2-40B4-BE49-F238E27FC236}">
              <a16:creationId xmlns:a16="http://schemas.microsoft.com/office/drawing/2014/main" id="{F506DF72-D5DE-1183-03EE-4211B25B4C8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725" y="39957375"/>
          <a:ext cx="4438650" cy="303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22</xdr:row>
      <xdr:rowOff>0</xdr:rowOff>
    </xdr:from>
    <xdr:to>
      <xdr:col>18</xdr:col>
      <xdr:colOff>9525</xdr:colOff>
      <xdr:row>25</xdr:row>
      <xdr:rowOff>9525</xdr:rowOff>
    </xdr:to>
    <xdr:pic>
      <xdr:nvPicPr>
        <xdr:cNvPr id="21" name="Picture 20">
          <a:extLst>
            <a:ext uri="{FF2B5EF4-FFF2-40B4-BE49-F238E27FC236}">
              <a16:creationId xmlns:a16="http://schemas.microsoft.com/office/drawing/2014/main" id="{13E59463-DB98-4F9F-83C5-21A26976BBE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3385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22</xdr:row>
      <xdr:rowOff>0</xdr:rowOff>
    </xdr:from>
    <xdr:to>
      <xdr:col>33</xdr:col>
      <xdr:colOff>9525</xdr:colOff>
      <xdr:row>25</xdr:row>
      <xdr:rowOff>9525</xdr:rowOff>
    </xdr:to>
    <xdr:pic>
      <xdr:nvPicPr>
        <xdr:cNvPr id="22" name="Picture 21">
          <a:extLst>
            <a:ext uri="{FF2B5EF4-FFF2-40B4-BE49-F238E27FC236}">
              <a16:creationId xmlns:a16="http://schemas.microsoft.com/office/drawing/2014/main" id="{A30B70C1-FA1F-442C-A19B-D2EFD2A7EDD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6008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32</xdr:row>
      <xdr:rowOff>0</xdr:rowOff>
    </xdr:from>
    <xdr:to>
      <xdr:col>33</xdr:col>
      <xdr:colOff>9525</xdr:colOff>
      <xdr:row>35</xdr:row>
      <xdr:rowOff>9525</xdr:rowOff>
    </xdr:to>
    <xdr:pic>
      <xdr:nvPicPr>
        <xdr:cNvPr id="23" name="Picture 22">
          <a:extLst>
            <a:ext uri="{FF2B5EF4-FFF2-40B4-BE49-F238E27FC236}">
              <a16:creationId xmlns:a16="http://schemas.microsoft.com/office/drawing/2014/main" id="{AEEEF2CA-B60F-476B-BEE0-8349169C3BD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600800" y="593217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32</xdr:row>
      <xdr:rowOff>0</xdr:rowOff>
    </xdr:from>
    <xdr:to>
      <xdr:col>18</xdr:col>
      <xdr:colOff>9525</xdr:colOff>
      <xdr:row>35</xdr:row>
      <xdr:rowOff>9525</xdr:rowOff>
    </xdr:to>
    <xdr:pic>
      <xdr:nvPicPr>
        <xdr:cNvPr id="24" name="Picture 23">
          <a:extLst>
            <a:ext uri="{FF2B5EF4-FFF2-40B4-BE49-F238E27FC236}">
              <a16:creationId xmlns:a16="http://schemas.microsoft.com/office/drawing/2014/main" id="{3B581B3B-C434-4445-8552-8A0330C181A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338500" y="593217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42</xdr:row>
      <xdr:rowOff>0</xdr:rowOff>
    </xdr:from>
    <xdr:to>
      <xdr:col>33</xdr:col>
      <xdr:colOff>9525</xdr:colOff>
      <xdr:row>45</xdr:row>
      <xdr:rowOff>9525</xdr:rowOff>
    </xdr:to>
    <xdr:pic>
      <xdr:nvPicPr>
        <xdr:cNvPr id="25" name="Picture 24">
          <a:extLst>
            <a:ext uri="{FF2B5EF4-FFF2-40B4-BE49-F238E27FC236}">
              <a16:creationId xmlns:a16="http://schemas.microsoft.com/office/drawing/2014/main" id="{BC8D04C7-C46A-4E82-B5E5-495E5A14EFC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600800" y="784098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42</xdr:row>
      <xdr:rowOff>0</xdr:rowOff>
    </xdr:from>
    <xdr:to>
      <xdr:col>18</xdr:col>
      <xdr:colOff>9525</xdr:colOff>
      <xdr:row>45</xdr:row>
      <xdr:rowOff>9525</xdr:rowOff>
    </xdr:to>
    <xdr:pic>
      <xdr:nvPicPr>
        <xdr:cNvPr id="26" name="Picture 25">
          <a:extLst>
            <a:ext uri="{FF2B5EF4-FFF2-40B4-BE49-F238E27FC236}">
              <a16:creationId xmlns:a16="http://schemas.microsoft.com/office/drawing/2014/main" id="{B6842536-90C8-40FE-9B9D-67166BDE89E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338500" y="784098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32</xdr:row>
      <xdr:rowOff>0</xdr:rowOff>
    </xdr:from>
    <xdr:to>
      <xdr:col>3</xdr:col>
      <xdr:colOff>9525</xdr:colOff>
      <xdr:row>35</xdr:row>
      <xdr:rowOff>9525</xdr:rowOff>
    </xdr:to>
    <xdr:pic>
      <xdr:nvPicPr>
        <xdr:cNvPr id="27" name="Picture 26">
          <a:extLst>
            <a:ext uri="{FF2B5EF4-FFF2-40B4-BE49-F238E27FC236}">
              <a16:creationId xmlns:a16="http://schemas.microsoft.com/office/drawing/2014/main" id="{BCE9017F-5725-4409-8A55-57ECE7F2827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593217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42</xdr:row>
      <xdr:rowOff>0</xdr:rowOff>
    </xdr:from>
    <xdr:to>
      <xdr:col>3</xdr:col>
      <xdr:colOff>9525</xdr:colOff>
      <xdr:row>45</xdr:row>
      <xdr:rowOff>9525</xdr:rowOff>
    </xdr:to>
    <xdr:pic>
      <xdr:nvPicPr>
        <xdr:cNvPr id="28" name="Picture 27">
          <a:extLst>
            <a:ext uri="{FF2B5EF4-FFF2-40B4-BE49-F238E27FC236}">
              <a16:creationId xmlns:a16="http://schemas.microsoft.com/office/drawing/2014/main" id="{9BE4928B-CD0E-4A3E-AE8B-0CC1032968F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784098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0</xdr:colOff>
      <xdr:row>0</xdr:row>
      <xdr:rowOff>0</xdr:rowOff>
    </xdr:from>
    <xdr:to>
      <xdr:col>12</xdr:col>
      <xdr:colOff>2095499</xdr:colOff>
      <xdr:row>3</xdr:row>
      <xdr:rowOff>-1</xdr:rowOff>
    </xdr:to>
    <xdr:sp macro="" textlink="">
      <xdr:nvSpPr>
        <xdr:cNvPr id="6" name="Rectangle 5" descr="Tab Link to Table of Contents">
          <a:hlinkClick xmlns:r="http://schemas.openxmlformats.org/officeDocument/2006/relationships" r:id="rId1"/>
          <a:extLst>
            <a:ext uri="{FF2B5EF4-FFF2-40B4-BE49-F238E27FC236}">
              <a16:creationId xmlns:a16="http://schemas.microsoft.com/office/drawing/2014/main" id="{E7B7CD66-5FA5-447B-AE35-DC3776CDF62C}"/>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12</xdr:col>
      <xdr:colOff>0</xdr:colOff>
      <xdr:row>0</xdr:row>
      <xdr:rowOff>0</xdr:rowOff>
    </xdr:from>
    <xdr:to>
      <xdr:col>12</xdr:col>
      <xdr:colOff>2095499</xdr:colOff>
      <xdr:row>3</xdr:row>
      <xdr:rowOff>-1</xdr:rowOff>
    </xdr:to>
    <xdr:sp macro="" textlink="">
      <xdr:nvSpPr>
        <xdr:cNvPr id="7" name="Rectangle 6" descr="Tab Link to Table of Contents">
          <a:hlinkClick xmlns:r="http://schemas.openxmlformats.org/officeDocument/2006/relationships" r:id="rId1"/>
          <a:extLst>
            <a:ext uri="{FF2B5EF4-FFF2-40B4-BE49-F238E27FC236}">
              <a16:creationId xmlns:a16="http://schemas.microsoft.com/office/drawing/2014/main" id="{8AD218F1-AAA0-4F1E-BBEA-B2716B6EEA3E}"/>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BD563915-0168-4D0B-AA99-8328BB645ADA}"/>
            </a:ext>
          </a:extLst>
        </xdr:cNvPr>
        <xdr:cNvSpPr/>
      </xdr:nvSpPr>
      <xdr:spPr>
        <a:xfrm>
          <a:off x="25574625" y="0"/>
          <a:ext cx="2095499" cy="10572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6</xdr:row>
      <xdr:rowOff>0</xdr:rowOff>
    </xdr:from>
    <xdr:to>
      <xdr:col>3</xdr:col>
      <xdr:colOff>19050</xdr:colOff>
      <xdr:row>8</xdr:row>
      <xdr:rowOff>19050</xdr:rowOff>
    </xdr:to>
    <xdr:pic>
      <xdr:nvPicPr>
        <xdr:cNvPr id="3" name="Picture 2">
          <a:extLst>
            <a:ext uri="{FF2B5EF4-FFF2-40B4-BE49-F238E27FC236}">
              <a16:creationId xmlns:a16="http://schemas.microsoft.com/office/drawing/2014/main" id="{E913737E-D954-A898-664E-EE9E878B0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7620</xdr:colOff>
      <xdr:row>54</xdr:row>
      <xdr:rowOff>7620</xdr:rowOff>
    </xdr:to>
    <xdr:pic>
      <xdr:nvPicPr>
        <xdr:cNvPr id="15" name="Picture 14">
          <a:extLst>
            <a:ext uri="{FF2B5EF4-FFF2-40B4-BE49-F238E27FC236}">
              <a16:creationId xmlns:a16="http://schemas.microsoft.com/office/drawing/2014/main" id="{61FF79D9-A669-643F-BBBC-C71EBC52754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440" y="9686544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7620</xdr:colOff>
      <xdr:row>62</xdr:row>
      <xdr:rowOff>7620</xdr:rowOff>
    </xdr:to>
    <xdr:pic>
      <xdr:nvPicPr>
        <xdr:cNvPr id="16" name="Picture 15">
          <a:extLst>
            <a:ext uri="{FF2B5EF4-FFF2-40B4-BE49-F238E27FC236}">
              <a16:creationId xmlns:a16="http://schemas.microsoft.com/office/drawing/2014/main" id="{7028C5F3-7544-9104-55A0-0B54CE4579A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 y="1137970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6</xdr:row>
      <xdr:rowOff>0</xdr:rowOff>
    </xdr:from>
    <xdr:to>
      <xdr:col>18</xdr:col>
      <xdr:colOff>19050</xdr:colOff>
      <xdr:row>8</xdr:row>
      <xdr:rowOff>19050</xdr:rowOff>
    </xdr:to>
    <xdr:pic>
      <xdr:nvPicPr>
        <xdr:cNvPr id="17" name="Picture 16">
          <a:extLst>
            <a:ext uri="{FF2B5EF4-FFF2-40B4-BE49-F238E27FC236}">
              <a16:creationId xmlns:a16="http://schemas.microsoft.com/office/drawing/2014/main" id="{7EA8124B-C346-4AE3-B947-FFACC72A3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8500" y="4953000"/>
          <a:ext cx="44386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6</xdr:row>
      <xdr:rowOff>0</xdr:rowOff>
    </xdr:from>
    <xdr:to>
      <xdr:col>33</xdr:col>
      <xdr:colOff>19050</xdr:colOff>
      <xdr:row>8</xdr:row>
      <xdr:rowOff>19050</xdr:rowOff>
    </xdr:to>
    <xdr:pic>
      <xdr:nvPicPr>
        <xdr:cNvPr id="18" name="Picture 17">
          <a:extLst>
            <a:ext uri="{FF2B5EF4-FFF2-40B4-BE49-F238E27FC236}">
              <a16:creationId xmlns:a16="http://schemas.microsoft.com/office/drawing/2014/main" id="{2AAB72C3-7E66-4699-90EB-6472B1A2F0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600800" y="4953000"/>
          <a:ext cx="44386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22</xdr:row>
      <xdr:rowOff>0</xdr:rowOff>
    </xdr:from>
    <xdr:to>
      <xdr:col>33</xdr:col>
      <xdr:colOff>9525</xdr:colOff>
      <xdr:row>25</xdr:row>
      <xdr:rowOff>9525</xdr:rowOff>
    </xdr:to>
    <xdr:pic>
      <xdr:nvPicPr>
        <xdr:cNvPr id="20" name="Picture 19">
          <a:extLst>
            <a:ext uri="{FF2B5EF4-FFF2-40B4-BE49-F238E27FC236}">
              <a16:creationId xmlns:a16="http://schemas.microsoft.com/office/drawing/2014/main" id="{5F96A551-0695-9F41-BFE4-54AFF8E2623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648425" y="39957375"/>
          <a:ext cx="4438650" cy="303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22</xdr:row>
      <xdr:rowOff>0</xdr:rowOff>
    </xdr:from>
    <xdr:to>
      <xdr:col>18</xdr:col>
      <xdr:colOff>9525</xdr:colOff>
      <xdr:row>25</xdr:row>
      <xdr:rowOff>9525</xdr:rowOff>
    </xdr:to>
    <xdr:pic>
      <xdr:nvPicPr>
        <xdr:cNvPr id="21" name="Picture 20">
          <a:extLst>
            <a:ext uri="{FF2B5EF4-FFF2-40B4-BE49-F238E27FC236}">
              <a16:creationId xmlns:a16="http://schemas.microsoft.com/office/drawing/2014/main" id="{6BAEB828-8959-4896-BB90-E5AD7070FCE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3385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22</xdr:row>
      <xdr:rowOff>0</xdr:rowOff>
    </xdr:from>
    <xdr:to>
      <xdr:col>3</xdr:col>
      <xdr:colOff>9525</xdr:colOff>
      <xdr:row>25</xdr:row>
      <xdr:rowOff>9525</xdr:rowOff>
    </xdr:to>
    <xdr:pic>
      <xdr:nvPicPr>
        <xdr:cNvPr id="22" name="Picture 21">
          <a:extLst>
            <a:ext uri="{FF2B5EF4-FFF2-40B4-BE49-F238E27FC236}">
              <a16:creationId xmlns:a16="http://schemas.microsoft.com/office/drawing/2014/main" id="{4075A7A0-7B53-4AC2-BBA2-82CA1EAE0D0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32</xdr:row>
      <xdr:rowOff>0</xdr:rowOff>
    </xdr:from>
    <xdr:to>
      <xdr:col>3</xdr:col>
      <xdr:colOff>9525</xdr:colOff>
      <xdr:row>35</xdr:row>
      <xdr:rowOff>9525</xdr:rowOff>
    </xdr:to>
    <xdr:pic>
      <xdr:nvPicPr>
        <xdr:cNvPr id="23" name="Picture 22">
          <a:extLst>
            <a:ext uri="{FF2B5EF4-FFF2-40B4-BE49-F238E27FC236}">
              <a16:creationId xmlns:a16="http://schemas.microsoft.com/office/drawing/2014/main" id="{1522638D-07EA-4D58-8918-BAFC1AC1823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593217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32</xdr:row>
      <xdr:rowOff>0</xdr:rowOff>
    </xdr:from>
    <xdr:to>
      <xdr:col>18</xdr:col>
      <xdr:colOff>9525</xdr:colOff>
      <xdr:row>35</xdr:row>
      <xdr:rowOff>9525</xdr:rowOff>
    </xdr:to>
    <xdr:pic>
      <xdr:nvPicPr>
        <xdr:cNvPr id="24" name="Picture 23">
          <a:extLst>
            <a:ext uri="{FF2B5EF4-FFF2-40B4-BE49-F238E27FC236}">
              <a16:creationId xmlns:a16="http://schemas.microsoft.com/office/drawing/2014/main" id="{85779231-220D-4B1B-847B-1B7C2DDDF62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338500" y="593217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32</xdr:row>
      <xdr:rowOff>0</xdr:rowOff>
    </xdr:from>
    <xdr:to>
      <xdr:col>33</xdr:col>
      <xdr:colOff>9525</xdr:colOff>
      <xdr:row>35</xdr:row>
      <xdr:rowOff>9525</xdr:rowOff>
    </xdr:to>
    <xdr:pic>
      <xdr:nvPicPr>
        <xdr:cNvPr id="25" name="Picture 24">
          <a:extLst>
            <a:ext uri="{FF2B5EF4-FFF2-40B4-BE49-F238E27FC236}">
              <a16:creationId xmlns:a16="http://schemas.microsoft.com/office/drawing/2014/main" id="{CE208022-D14F-4030-9F5E-CCA46067A78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600800" y="593217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42</xdr:row>
      <xdr:rowOff>0</xdr:rowOff>
    </xdr:from>
    <xdr:to>
      <xdr:col>3</xdr:col>
      <xdr:colOff>9525</xdr:colOff>
      <xdr:row>45</xdr:row>
      <xdr:rowOff>9525</xdr:rowOff>
    </xdr:to>
    <xdr:pic>
      <xdr:nvPicPr>
        <xdr:cNvPr id="26" name="Picture 25">
          <a:extLst>
            <a:ext uri="{FF2B5EF4-FFF2-40B4-BE49-F238E27FC236}">
              <a16:creationId xmlns:a16="http://schemas.microsoft.com/office/drawing/2014/main" id="{AA072D72-C123-49FC-98AA-042041A36DE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6200" y="784098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42</xdr:row>
      <xdr:rowOff>0</xdr:rowOff>
    </xdr:from>
    <xdr:to>
      <xdr:col>18</xdr:col>
      <xdr:colOff>9525</xdr:colOff>
      <xdr:row>45</xdr:row>
      <xdr:rowOff>9525</xdr:rowOff>
    </xdr:to>
    <xdr:pic>
      <xdr:nvPicPr>
        <xdr:cNvPr id="27" name="Picture 26">
          <a:extLst>
            <a:ext uri="{FF2B5EF4-FFF2-40B4-BE49-F238E27FC236}">
              <a16:creationId xmlns:a16="http://schemas.microsoft.com/office/drawing/2014/main" id="{C81F15B8-934B-48D3-8E7A-5A03AD7786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1338500" y="784098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42</xdr:row>
      <xdr:rowOff>0</xdr:rowOff>
    </xdr:from>
    <xdr:to>
      <xdr:col>33</xdr:col>
      <xdr:colOff>9525</xdr:colOff>
      <xdr:row>45</xdr:row>
      <xdr:rowOff>9525</xdr:rowOff>
    </xdr:to>
    <xdr:pic>
      <xdr:nvPicPr>
        <xdr:cNvPr id="28" name="Picture 27">
          <a:extLst>
            <a:ext uri="{FF2B5EF4-FFF2-40B4-BE49-F238E27FC236}">
              <a16:creationId xmlns:a16="http://schemas.microsoft.com/office/drawing/2014/main" id="{1F40A5B1-4FE1-4798-85B1-1AA28021F63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2600800" y="784098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0</xdr:colOff>
      <xdr:row>0</xdr:row>
      <xdr:rowOff>0</xdr:rowOff>
    </xdr:from>
    <xdr:to>
      <xdr:col>12</xdr:col>
      <xdr:colOff>2095499</xdr:colOff>
      <xdr:row>3</xdr:row>
      <xdr:rowOff>-1</xdr:rowOff>
    </xdr:to>
    <xdr:sp macro="" textlink="">
      <xdr:nvSpPr>
        <xdr:cNvPr id="4" name="Rectangle 3" descr="Tab Link to Table of Contents">
          <a:hlinkClick xmlns:r="http://schemas.openxmlformats.org/officeDocument/2006/relationships" r:id="rId1"/>
          <a:extLst>
            <a:ext uri="{FF2B5EF4-FFF2-40B4-BE49-F238E27FC236}">
              <a16:creationId xmlns:a16="http://schemas.microsoft.com/office/drawing/2014/main" id="{07DF84C7-1646-4AC1-B8FC-79F3ABF6844F}"/>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12</xdr:col>
      <xdr:colOff>0</xdr:colOff>
      <xdr:row>0</xdr:row>
      <xdr:rowOff>0</xdr:rowOff>
    </xdr:from>
    <xdr:to>
      <xdr:col>12</xdr:col>
      <xdr:colOff>2095499</xdr:colOff>
      <xdr:row>3</xdr:row>
      <xdr:rowOff>-1</xdr:rowOff>
    </xdr:to>
    <xdr:sp macro="" textlink="">
      <xdr:nvSpPr>
        <xdr:cNvPr id="5" name="Rectangle 4" descr="Tab Link to Table of Contents">
          <a:hlinkClick xmlns:r="http://schemas.openxmlformats.org/officeDocument/2006/relationships" r:id="rId1"/>
          <a:extLst>
            <a:ext uri="{FF2B5EF4-FFF2-40B4-BE49-F238E27FC236}">
              <a16:creationId xmlns:a16="http://schemas.microsoft.com/office/drawing/2014/main" id="{C840C4F1-6BE1-4A82-A204-AFE68DDDC8AD}"/>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2095499</xdr:colOff>
      <xdr:row>3</xdr:row>
      <xdr:rowOff>-1</xdr:rowOff>
    </xdr:to>
    <xdr:sp macro="" textlink="">
      <xdr:nvSpPr>
        <xdr:cNvPr id="2" name="Rectangle 1" descr="Tab Link to Table of Contents">
          <a:hlinkClick xmlns:r="http://schemas.openxmlformats.org/officeDocument/2006/relationships" r:id="rId1"/>
          <a:extLst>
            <a:ext uri="{FF2B5EF4-FFF2-40B4-BE49-F238E27FC236}">
              <a16:creationId xmlns:a16="http://schemas.microsoft.com/office/drawing/2014/main" id="{00F56CD9-A93C-45E6-A90B-2D5EFBC72517}"/>
            </a:ext>
          </a:extLst>
        </xdr:cNvPr>
        <xdr:cNvSpPr/>
      </xdr:nvSpPr>
      <xdr:spPr>
        <a:xfrm>
          <a:off x="25574625" y="0"/>
          <a:ext cx="2095499" cy="10572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editAs="oneCell">
    <xdr:from>
      <xdr:col>1</xdr:col>
      <xdr:colOff>0</xdr:colOff>
      <xdr:row>6</xdr:row>
      <xdr:rowOff>0</xdr:rowOff>
    </xdr:from>
    <xdr:to>
      <xdr:col>3</xdr:col>
      <xdr:colOff>19050</xdr:colOff>
      <xdr:row>8</xdr:row>
      <xdr:rowOff>19050</xdr:rowOff>
    </xdr:to>
    <xdr:pic>
      <xdr:nvPicPr>
        <xdr:cNvPr id="3" name="Picture 2">
          <a:extLst>
            <a:ext uri="{FF2B5EF4-FFF2-40B4-BE49-F238E27FC236}">
              <a16:creationId xmlns:a16="http://schemas.microsoft.com/office/drawing/2014/main" id="{762071BB-F32E-80F8-7FFA-1115287D29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 y="4869180"/>
          <a:ext cx="4564380" cy="2720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7620</xdr:colOff>
      <xdr:row>54</xdr:row>
      <xdr:rowOff>7620</xdr:rowOff>
    </xdr:to>
    <xdr:pic>
      <xdr:nvPicPr>
        <xdr:cNvPr id="15" name="Picture 14">
          <a:extLst>
            <a:ext uri="{FF2B5EF4-FFF2-40B4-BE49-F238E27FC236}">
              <a16:creationId xmlns:a16="http://schemas.microsoft.com/office/drawing/2014/main" id="{1B944870-0807-7D98-526D-7ADAB956CB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440" y="9686544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52</xdr:row>
      <xdr:rowOff>0</xdr:rowOff>
    </xdr:from>
    <xdr:to>
      <xdr:col>3</xdr:col>
      <xdr:colOff>7620</xdr:colOff>
      <xdr:row>54</xdr:row>
      <xdr:rowOff>7620</xdr:rowOff>
    </xdr:to>
    <xdr:pic>
      <xdr:nvPicPr>
        <xdr:cNvPr id="16" name="Picture 15">
          <a:extLst>
            <a:ext uri="{FF2B5EF4-FFF2-40B4-BE49-F238E27FC236}">
              <a16:creationId xmlns:a16="http://schemas.microsoft.com/office/drawing/2014/main" id="{BC5FBF26-B680-6164-4801-A4CEF761264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 y="9686544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7620</xdr:colOff>
      <xdr:row>62</xdr:row>
      <xdr:rowOff>7620</xdr:rowOff>
    </xdr:to>
    <xdr:pic>
      <xdr:nvPicPr>
        <xdr:cNvPr id="18" name="Picture 17">
          <a:extLst>
            <a:ext uri="{FF2B5EF4-FFF2-40B4-BE49-F238E27FC236}">
              <a16:creationId xmlns:a16="http://schemas.microsoft.com/office/drawing/2014/main" id="{EB53680D-A1C7-3C7D-60BC-8EB54E4ED5F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1440" y="1137970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60</xdr:row>
      <xdr:rowOff>0</xdr:rowOff>
    </xdr:from>
    <xdr:to>
      <xdr:col>3</xdr:col>
      <xdr:colOff>7620</xdr:colOff>
      <xdr:row>62</xdr:row>
      <xdr:rowOff>7620</xdr:rowOff>
    </xdr:to>
    <xdr:pic>
      <xdr:nvPicPr>
        <xdr:cNvPr id="19" name="Picture 18">
          <a:extLst>
            <a:ext uri="{FF2B5EF4-FFF2-40B4-BE49-F238E27FC236}">
              <a16:creationId xmlns:a16="http://schemas.microsoft.com/office/drawing/2014/main" id="{DD0BAFCE-C6EE-80ED-B1A8-5A5D9963FEA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1440" y="113797080"/>
          <a:ext cx="4564380" cy="3558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0</xdr:colOff>
      <xdr:row>6</xdr:row>
      <xdr:rowOff>0</xdr:rowOff>
    </xdr:from>
    <xdr:to>
      <xdr:col>18</xdr:col>
      <xdr:colOff>19050</xdr:colOff>
      <xdr:row>8</xdr:row>
      <xdr:rowOff>19050</xdr:rowOff>
    </xdr:to>
    <xdr:pic>
      <xdr:nvPicPr>
        <xdr:cNvPr id="23" name="Picture 22">
          <a:extLst>
            <a:ext uri="{FF2B5EF4-FFF2-40B4-BE49-F238E27FC236}">
              <a16:creationId xmlns:a16="http://schemas.microsoft.com/office/drawing/2014/main" id="{D352BADA-7A7C-483B-A9D3-2A7D78B09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338500" y="4953000"/>
          <a:ext cx="44386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6</xdr:row>
      <xdr:rowOff>0</xdr:rowOff>
    </xdr:from>
    <xdr:to>
      <xdr:col>33</xdr:col>
      <xdr:colOff>19050</xdr:colOff>
      <xdr:row>8</xdr:row>
      <xdr:rowOff>19050</xdr:rowOff>
    </xdr:to>
    <xdr:pic>
      <xdr:nvPicPr>
        <xdr:cNvPr id="24" name="Picture 23">
          <a:extLst>
            <a:ext uri="{FF2B5EF4-FFF2-40B4-BE49-F238E27FC236}">
              <a16:creationId xmlns:a16="http://schemas.microsoft.com/office/drawing/2014/main" id="{D366E8FE-7981-4613-A8E5-9B57563100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600800" y="4953000"/>
          <a:ext cx="4438650" cy="2724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22</xdr:row>
      <xdr:rowOff>0</xdr:rowOff>
    </xdr:from>
    <xdr:to>
      <xdr:col>3</xdr:col>
      <xdr:colOff>9525</xdr:colOff>
      <xdr:row>25</xdr:row>
      <xdr:rowOff>9525</xdr:rowOff>
    </xdr:to>
    <xdr:pic>
      <xdr:nvPicPr>
        <xdr:cNvPr id="26" name="Picture 25">
          <a:extLst>
            <a:ext uri="{FF2B5EF4-FFF2-40B4-BE49-F238E27FC236}">
              <a16:creationId xmlns:a16="http://schemas.microsoft.com/office/drawing/2014/main" id="{919D29B4-6FB4-AF82-4862-75A0B2E1213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85725" y="39957375"/>
          <a:ext cx="4438650" cy="303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16</xdr:col>
      <xdr:colOff>0</xdr:colOff>
      <xdr:row>22</xdr:row>
      <xdr:rowOff>0</xdr:rowOff>
    </xdr:from>
    <xdr:ext cx="4429125" cy="3095625"/>
    <xdr:pic>
      <xdr:nvPicPr>
        <xdr:cNvPr id="27" name="Picture 26">
          <a:extLst>
            <a:ext uri="{FF2B5EF4-FFF2-40B4-BE49-F238E27FC236}">
              <a16:creationId xmlns:a16="http://schemas.microsoft.com/office/drawing/2014/main" id="{B96FCA4B-0EE0-4449-B96B-833D02709AA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22</xdr:row>
      <xdr:rowOff>0</xdr:rowOff>
    </xdr:from>
    <xdr:ext cx="4429125" cy="3095625"/>
    <xdr:pic>
      <xdr:nvPicPr>
        <xdr:cNvPr id="28" name="Picture 27">
          <a:extLst>
            <a:ext uri="{FF2B5EF4-FFF2-40B4-BE49-F238E27FC236}">
              <a16:creationId xmlns:a16="http://schemas.microsoft.com/office/drawing/2014/main" id="{38F3AFDF-84A8-41B7-A351-06781A849293}"/>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32</xdr:row>
      <xdr:rowOff>0</xdr:rowOff>
    </xdr:from>
    <xdr:ext cx="4429125" cy="3095625"/>
    <xdr:pic>
      <xdr:nvPicPr>
        <xdr:cNvPr id="29" name="Picture 28">
          <a:extLst>
            <a:ext uri="{FF2B5EF4-FFF2-40B4-BE49-F238E27FC236}">
              <a16:creationId xmlns:a16="http://schemas.microsoft.com/office/drawing/2014/main" id="{28B7004F-FC74-4D72-BEF6-CBD2C742180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0</xdr:colOff>
      <xdr:row>32</xdr:row>
      <xdr:rowOff>0</xdr:rowOff>
    </xdr:from>
    <xdr:ext cx="4429125" cy="3095625"/>
    <xdr:pic>
      <xdr:nvPicPr>
        <xdr:cNvPr id="30" name="Picture 29">
          <a:extLst>
            <a:ext uri="{FF2B5EF4-FFF2-40B4-BE49-F238E27FC236}">
              <a16:creationId xmlns:a16="http://schemas.microsoft.com/office/drawing/2014/main" id="{65862C72-A788-446A-AEEF-8DF97C526FF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31</xdr:col>
      <xdr:colOff>0</xdr:colOff>
      <xdr:row>42</xdr:row>
      <xdr:rowOff>0</xdr:rowOff>
    </xdr:from>
    <xdr:ext cx="4429125" cy="3095625"/>
    <xdr:pic>
      <xdr:nvPicPr>
        <xdr:cNvPr id="31" name="Picture 30">
          <a:extLst>
            <a:ext uri="{FF2B5EF4-FFF2-40B4-BE49-F238E27FC236}">
              <a16:creationId xmlns:a16="http://schemas.microsoft.com/office/drawing/2014/main" id="{D05431E1-9E15-425F-BF5F-26991F6BE5C3}"/>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0</xdr:colOff>
      <xdr:row>42</xdr:row>
      <xdr:rowOff>0</xdr:rowOff>
    </xdr:from>
    <xdr:ext cx="4429125" cy="3095625"/>
    <xdr:pic>
      <xdr:nvPicPr>
        <xdr:cNvPr id="32" name="Picture 31">
          <a:extLst>
            <a:ext uri="{FF2B5EF4-FFF2-40B4-BE49-F238E27FC236}">
              <a16:creationId xmlns:a16="http://schemas.microsoft.com/office/drawing/2014/main" id="{BFFBABE3-0267-4F9C-8151-1F2E17F0F55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42</xdr:row>
      <xdr:rowOff>0</xdr:rowOff>
    </xdr:from>
    <xdr:ext cx="4429125" cy="3095625"/>
    <xdr:pic>
      <xdr:nvPicPr>
        <xdr:cNvPr id="33" name="Picture 32">
          <a:extLst>
            <a:ext uri="{FF2B5EF4-FFF2-40B4-BE49-F238E27FC236}">
              <a16:creationId xmlns:a16="http://schemas.microsoft.com/office/drawing/2014/main" id="{38652C94-1EF4-4994-B38E-0B7DE8742BF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32</xdr:row>
      <xdr:rowOff>0</xdr:rowOff>
    </xdr:from>
    <xdr:ext cx="4429125" cy="3095625"/>
    <xdr:pic>
      <xdr:nvPicPr>
        <xdr:cNvPr id="34" name="Picture 33">
          <a:extLst>
            <a:ext uri="{FF2B5EF4-FFF2-40B4-BE49-F238E27FC236}">
              <a16:creationId xmlns:a16="http://schemas.microsoft.com/office/drawing/2014/main" id="{08C8F9B3-2B64-4BEE-87B1-B58A94D40DE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6200" y="40233600"/>
          <a:ext cx="4429125" cy="3095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12</xdr:col>
      <xdr:colOff>0</xdr:colOff>
      <xdr:row>0</xdr:row>
      <xdr:rowOff>0</xdr:rowOff>
    </xdr:from>
    <xdr:to>
      <xdr:col>12</xdr:col>
      <xdr:colOff>2095499</xdr:colOff>
      <xdr:row>3</xdr:row>
      <xdr:rowOff>-1</xdr:rowOff>
    </xdr:to>
    <xdr:sp macro="" textlink="">
      <xdr:nvSpPr>
        <xdr:cNvPr id="6" name="Rectangle 5" descr="Tab Link to Table of Contents">
          <a:hlinkClick xmlns:r="http://schemas.openxmlformats.org/officeDocument/2006/relationships" r:id="rId1"/>
          <a:extLst>
            <a:ext uri="{FF2B5EF4-FFF2-40B4-BE49-F238E27FC236}">
              <a16:creationId xmlns:a16="http://schemas.microsoft.com/office/drawing/2014/main" id="{D62A024A-1900-4C06-AB8F-DED0B821EA0A}"/>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12</xdr:col>
      <xdr:colOff>0</xdr:colOff>
      <xdr:row>0</xdr:row>
      <xdr:rowOff>0</xdr:rowOff>
    </xdr:from>
    <xdr:to>
      <xdr:col>12</xdr:col>
      <xdr:colOff>2095499</xdr:colOff>
      <xdr:row>3</xdr:row>
      <xdr:rowOff>-1</xdr:rowOff>
    </xdr:to>
    <xdr:sp macro="" textlink="">
      <xdr:nvSpPr>
        <xdr:cNvPr id="7" name="Rectangle 6" descr="Tab Link to Table of Contents">
          <a:hlinkClick xmlns:r="http://schemas.openxmlformats.org/officeDocument/2006/relationships" r:id="rId1"/>
          <a:extLst>
            <a:ext uri="{FF2B5EF4-FFF2-40B4-BE49-F238E27FC236}">
              <a16:creationId xmlns:a16="http://schemas.microsoft.com/office/drawing/2014/main" id="{9C7D56E3-43D7-423E-961A-445960C93545}"/>
            </a:ext>
          </a:extLst>
        </xdr:cNvPr>
        <xdr:cNvSpPr/>
      </xdr:nvSpPr>
      <xdr:spPr>
        <a:xfrm>
          <a:off x="31613475" y="0"/>
          <a:ext cx="2095499" cy="1247774"/>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ysClr val="windowText" lastClr="000000"/>
              </a:solidFill>
              <a:latin typeface="Times New Roman" panose="02020603050405020304" pitchFamily="18" charset="0"/>
              <a:cs typeface="Times New Roman" panose="02020603050405020304" pitchFamily="18" charset="0"/>
            </a:rPr>
            <a:t>Go</a:t>
          </a:r>
          <a:r>
            <a:rPr lang="en-US" sz="1800" b="1" baseline="0">
              <a:solidFill>
                <a:sysClr val="windowText" lastClr="000000"/>
              </a:solidFill>
              <a:latin typeface="Times New Roman" panose="02020603050405020304" pitchFamily="18" charset="0"/>
              <a:cs typeface="Times New Roman" panose="02020603050405020304" pitchFamily="18" charset="0"/>
            </a:rPr>
            <a:t> to tab</a:t>
          </a:r>
          <a:endParaRPr lang="en-US" sz="1800" b="1">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6" Type="http://schemas.openxmlformats.org/officeDocument/2006/relationships/hyperlink" Target="https://homeguide.com/costs/electric-furnace-cost" TargetMode="External"/><Relationship Id="rId21" Type="http://schemas.openxmlformats.org/officeDocument/2006/relationships/hyperlink" Target="https://www.angi.com/articles/how-much-does-testing-soil-cost.htm" TargetMode="External"/><Relationship Id="rId34" Type="http://schemas.openxmlformats.org/officeDocument/2006/relationships/hyperlink" Target="https://homeguide.com/costs/radiator-replacement-cost" TargetMode="External"/><Relationship Id="rId42" Type="http://schemas.openxmlformats.org/officeDocument/2006/relationships/hyperlink" Target="https://homeguide.com/costs/oil-furnace-cost" TargetMode="External"/><Relationship Id="rId47" Type="http://schemas.openxmlformats.org/officeDocument/2006/relationships/hyperlink" Target="https://www.angi.com/articles/how-much-does-heat-pump-cost.htm" TargetMode="External"/><Relationship Id="rId50" Type="http://schemas.openxmlformats.org/officeDocument/2006/relationships/hyperlink" Target="https://www.supplyhouse.com/B-Vent-Fittings-14710000" TargetMode="External"/><Relationship Id="rId55" Type="http://schemas.openxmlformats.org/officeDocument/2006/relationships/hyperlink" Target="https://combinedenergyservices.com/home-owned-vs-supplier-loaned-propane-tank-which-is-better/" TargetMode="External"/><Relationship Id="rId63" Type="http://schemas.openxmlformats.org/officeDocument/2006/relationships/hyperlink" Target="https://homeguide.com/costs/radiator-replacement-cost" TargetMode="External"/><Relationship Id="rId7" Type="http://schemas.openxmlformats.org/officeDocument/2006/relationships/hyperlink" Target="https://www.lowes.com/search?searchTerm=romex+cable+10%2F2" TargetMode="External"/><Relationship Id="rId2" Type="http://schemas.openxmlformats.org/officeDocument/2006/relationships/hyperlink" Target="https://hvacdirect.com/" TargetMode="External"/><Relationship Id="rId16" Type="http://schemas.openxmlformats.org/officeDocument/2006/relationships/hyperlink" Target="https://www.homewyse.com/services/cost_to_install_appliance_circuit.html" TargetMode="External"/><Relationship Id="rId29" Type="http://schemas.openxmlformats.org/officeDocument/2006/relationships/hyperlink" Target="https://homeguide.com/costs/geothermal-heat-pump-cost" TargetMode="External"/><Relationship Id="rId11" Type="http://schemas.openxmlformats.org/officeDocument/2006/relationships/hyperlink" Target="https://www.angi.com/articles/air-duct-replacement-cost.htm" TargetMode="External"/><Relationship Id="rId24" Type="http://schemas.openxmlformats.org/officeDocument/2006/relationships/hyperlink" Target="https://www.angi.com/articles/common-gas-furnace-prices.htm" TargetMode="External"/><Relationship Id="rId32" Type="http://schemas.openxmlformats.org/officeDocument/2006/relationships/hyperlink" Target="https://www.fixr.com/costs/natural-gas-furnace" TargetMode="External"/><Relationship Id="rId37" Type="http://schemas.openxmlformats.org/officeDocument/2006/relationships/hyperlink" Target="https://www.angi.com/articles/how-much-does-it-cost-install-ductless-mini-split-ac.htm" TargetMode="External"/><Relationship Id="rId40" Type="http://schemas.openxmlformats.org/officeDocument/2006/relationships/hyperlink" Target="https://www.homewyse.com/services/cost_to_install_split_system_air_conditioner.html" TargetMode="External"/><Relationship Id="rId45" Type="http://schemas.openxmlformats.org/officeDocument/2006/relationships/hyperlink" Target="https://www.angi.com/articles/how-much-does-boiler-installation-cost.htm" TargetMode="External"/><Relationship Id="rId53" Type="http://schemas.openxmlformats.org/officeDocument/2006/relationships/hyperlink" Target="https://www.angi.com/articles/geothermal-heating-and-cooling-cost.htm" TargetMode="External"/><Relationship Id="rId58" Type="http://schemas.openxmlformats.org/officeDocument/2006/relationships/hyperlink" Target="https://www.angi.com/articles/trenching-cost.htm" TargetMode="External"/><Relationship Id="rId66" Type="http://schemas.openxmlformats.org/officeDocument/2006/relationships/drawing" Target="../drawings/drawing15.xml"/><Relationship Id="rId5" Type="http://schemas.openxmlformats.org/officeDocument/2006/relationships/hyperlink" Target="https://www.homedepot.com/p/Everbilt-3-4-in-x-10-ft-Electric-Metallic-Tube-EMT-Conduit/100400405" TargetMode="External"/><Relationship Id="rId61" Type="http://schemas.openxmlformats.org/officeDocument/2006/relationships/hyperlink" Target="https://www.homedepot.com/s/Steel-City-4-in-Round-Box-1-2-in-Knockouts-Raised-Ground?NCNI-5" TargetMode="External"/><Relationship Id="rId19" Type="http://schemas.openxmlformats.org/officeDocument/2006/relationships/hyperlink" Target="https://www.homedepot.com/p/American-Metal-Products-4-in-x-3-ft-B-Vent-Pipe-4E3HD/309122648" TargetMode="External"/><Relationship Id="rId14" Type="http://schemas.openxmlformats.org/officeDocument/2006/relationships/hyperlink" Target="https://plelectrical.ca/how-long-does-it-take-to-install-an-electrical-outlet/" TargetMode="External"/><Relationship Id="rId22" Type="http://schemas.openxmlformats.org/officeDocument/2006/relationships/hyperlink" Target="https://iwae.com/shop/2-5-to-3-ton-horizontal-ground-loop-geothermal-installation-kit-ha17408.html" TargetMode="External"/><Relationship Id="rId27" Type="http://schemas.openxmlformats.org/officeDocument/2006/relationships/hyperlink" Target="https://www.angi.com/articles/how-much-does-it-cost-install-electric-furnace.htm" TargetMode="External"/><Relationship Id="rId30" Type="http://schemas.openxmlformats.org/officeDocument/2006/relationships/hyperlink" Target="https://www.angi.com/articles/wood-burning-stove-installation-cost.htm" TargetMode="External"/><Relationship Id="rId35" Type="http://schemas.openxmlformats.org/officeDocument/2006/relationships/hyperlink" Target="https://www.blackhillsinc.com/blog/how-much-should-hvac-ductwork-installation-cost/" TargetMode="External"/><Relationship Id="rId43" Type="http://schemas.openxmlformats.org/officeDocument/2006/relationships/hyperlink" Target="https://homeguide.com/costs/wood-stove-installation-cost" TargetMode="External"/><Relationship Id="rId48" Type="http://schemas.openxmlformats.org/officeDocument/2006/relationships/hyperlink" Target="https://indoortemp.com/resources/how-long-does-a-furnace-install-take" TargetMode="External"/><Relationship Id="rId56" Type="http://schemas.openxmlformats.org/officeDocument/2006/relationships/hyperlink" Target="https://homeguide.com/costs/oil-tank-replacement-cost" TargetMode="External"/><Relationship Id="rId64" Type="http://schemas.openxmlformats.org/officeDocument/2006/relationships/hyperlink" Target="https://www.homedepot.com/s/outlet%20box?NCNI-5" TargetMode="External"/><Relationship Id="rId8" Type="http://schemas.openxmlformats.org/officeDocument/2006/relationships/hyperlink" Target="https://www.homedepot.com/p/Everbilt-3-4-in-x-10-ft-Electric-Metallic-Tube-EMT-Conduit/100400405" TargetMode="External"/><Relationship Id="rId51" Type="http://schemas.openxmlformats.org/officeDocument/2006/relationships/hyperlink" Target="https://www.energy.gov/energysaver/home-heating-systems" TargetMode="External"/><Relationship Id="rId3" Type="http://schemas.openxmlformats.org/officeDocument/2006/relationships/hyperlink" Target="https://homeguide.com/costs/cost-to-install-a-220v-or-240v-outlet" TargetMode="External"/><Relationship Id="rId12" Type="http://schemas.openxmlformats.org/officeDocument/2006/relationships/hyperlink" Target="https://hvacgnome.com/blog/cost/ductwork-installation-price" TargetMode="External"/><Relationship Id="rId17" Type="http://schemas.openxmlformats.org/officeDocument/2006/relationships/hyperlink" Target="https://duravent.com/literature/L629_W.pdf" TargetMode="External"/><Relationship Id="rId25" Type="http://schemas.openxmlformats.org/officeDocument/2006/relationships/hyperlink" Target="https://homeguide.com/costs/mobile-home-furnace-replacement-cost" TargetMode="External"/><Relationship Id="rId33" Type="http://schemas.openxmlformats.org/officeDocument/2006/relationships/hyperlink" Target="https://www.costowl.com/home-improvement/hvac/hvac-radiator-heating-system-cost/" TargetMode="External"/><Relationship Id="rId38" Type="http://schemas.openxmlformats.org/officeDocument/2006/relationships/hyperlink" Target="https://www.homewyse.com/services/cost_to_install_split_system_air_conditioner.html" TargetMode="External"/><Relationship Id="rId46" Type="http://schemas.openxmlformats.org/officeDocument/2006/relationships/hyperlink" Target="https://www.angi.com/articles/how-much-does-boiler-installation-cost.htm" TargetMode="External"/><Relationship Id="rId59" Type="http://schemas.openxmlformats.org/officeDocument/2006/relationships/hyperlink" Target="https://www.energy.gov/energysaver/geothermal-heat-pumps" TargetMode="External"/><Relationship Id="rId20" Type="http://schemas.openxmlformats.org/officeDocument/2006/relationships/hyperlink" Target="https://www.homewyse.com/services/cost_to_repair_drywall.html" TargetMode="External"/><Relationship Id="rId41" Type="http://schemas.openxmlformats.org/officeDocument/2006/relationships/hyperlink" Target="https://homeguide.com/costs/gas-line-installation-cost" TargetMode="External"/><Relationship Id="rId54" Type="http://schemas.openxmlformats.org/officeDocument/2006/relationships/hyperlink" Target="https://www.homewyse.com/services/cost_to_remove_vent.html" TargetMode="External"/><Relationship Id="rId62" Type="http://schemas.openxmlformats.org/officeDocument/2006/relationships/hyperlink" Target="https://homeguide.com/costs/cost-to-install-a-220v-or-240v-outlet" TargetMode="External"/><Relationship Id="rId1" Type="http://schemas.openxmlformats.org/officeDocument/2006/relationships/hyperlink" Target="https://chimneylinerdepot.com/shop/" TargetMode="External"/><Relationship Id="rId6" Type="http://schemas.openxmlformats.org/officeDocument/2006/relationships/hyperlink" Target="https://www.homedepot.com/s/20%20amp%20single%20pole%20breaker?NCNI-5" TargetMode="External"/><Relationship Id="rId15" Type="http://schemas.openxmlformats.org/officeDocument/2006/relationships/hyperlink" Target="https://www.angi.com/articles/cost-to-install-dedicated-circuit.htm" TargetMode="External"/><Relationship Id="rId23" Type="http://schemas.openxmlformats.org/officeDocument/2006/relationships/hyperlink" Target="https://homeguide.com/costs/propane-furnace-cost" TargetMode="External"/><Relationship Id="rId28" Type="http://schemas.openxmlformats.org/officeDocument/2006/relationships/hyperlink" Target="https://www.angi.com/articles/how-much-does-it-cost-install-ductless-mini-split-ac.htm" TargetMode="External"/><Relationship Id="rId36" Type="http://schemas.openxmlformats.org/officeDocument/2006/relationships/hyperlink" Target="https://www.fixr.com/costs/ductwork" TargetMode="External"/><Relationship Id="rId49" Type="http://schemas.openxmlformats.org/officeDocument/2006/relationships/hyperlink" Target="https://www.supplyhouse.com/B-Vent-Fittings-14710000" TargetMode="External"/><Relationship Id="rId57" Type="http://schemas.openxmlformats.org/officeDocument/2006/relationships/hyperlink" Target="http://digtheheat.com/geothermal_heatpumps/loopconfigurations.html" TargetMode="External"/><Relationship Id="rId10" Type="http://schemas.openxmlformats.org/officeDocument/2006/relationships/hyperlink" Target="https://www.handoff.ai/construction-costs/install-ductwork" TargetMode="External"/><Relationship Id="rId31" Type="http://schemas.openxmlformats.org/officeDocument/2006/relationships/hyperlink" Target="https://www.angi.com/articles/how-much-does-boiler-installation-cost.htm" TargetMode="External"/><Relationship Id="rId44" Type="http://schemas.openxmlformats.org/officeDocument/2006/relationships/hyperlink" Target="https://duravent.com/product/directvent-pro" TargetMode="External"/><Relationship Id="rId52" Type="http://schemas.openxmlformats.org/officeDocument/2006/relationships/hyperlink" Target="https://www.supplyhouse.com/B-Vent-Fittings-14710000" TargetMode="External"/><Relationship Id="rId60" Type="http://schemas.openxmlformats.org/officeDocument/2006/relationships/hyperlink" Target="https://www.homewyse.com/services/cost_to_install_gas_furnace.html" TargetMode="External"/><Relationship Id="rId65" Type="http://schemas.openxmlformats.org/officeDocument/2006/relationships/printerSettings" Target="../printerSettings/printerSettings16.bin"/><Relationship Id="rId4" Type="http://schemas.openxmlformats.org/officeDocument/2006/relationships/hyperlink" Target="https://www.lowes.com/search?searchTerm=romex+cable+12%2F2" TargetMode="External"/><Relationship Id="rId9" Type="http://schemas.openxmlformats.org/officeDocument/2006/relationships/hyperlink" Target="https://homeguide.com/costs/cost-to-install-a-220v-or-240v-outlet" TargetMode="External"/><Relationship Id="rId13" Type="http://schemas.openxmlformats.org/officeDocument/2006/relationships/hyperlink" Target="https://www.costowl.com/home-improvement/hvac/hvac-radiator-heating-system-cost/" TargetMode="External"/><Relationship Id="rId18" Type="http://schemas.openxmlformats.org/officeDocument/2006/relationships/hyperlink" Target="https://homeguide.com/costs/gas-furnace-prices" TargetMode="External"/><Relationship Id="rId39" Type="http://schemas.openxmlformats.org/officeDocument/2006/relationships/hyperlink" Target="https://www.angi.com/articles/how-much-does-it-cost-install-ductless-mini-split-ac.htm"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homeguide.com/costs/boiler-replacement-cost" TargetMode="External"/><Relationship Id="rId13" Type="http://schemas.openxmlformats.org/officeDocument/2006/relationships/hyperlink" Target="https://www.angi.com/articles/how-much-does-it-cost-install-electric-furnace.htm" TargetMode="External"/><Relationship Id="rId18" Type="http://schemas.openxmlformats.org/officeDocument/2006/relationships/hyperlink" Target="https://www.moncriefair.com/blog/the-cost-of-replacing-your-furnace" TargetMode="External"/><Relationship Id="rId3" Type="http://schemas.openxmlformats.org/officeDocument/2006/relationships/hyperlink" Target="https://www.angi.com/articles/how-much-does-oil-tank-removal-cost.htm" TargetMode="External"/><Relationship Id="rId7" Type="http://schemas.openxmlformats.org/officeDocument/2006/relationships/hyperlink" Target="https://www.angi.com/articles/how-much-does-oil-tank-removal-cost.htm" TargetMode="External"/><Relationship Id="rId12" Type="http://schemas.openxmlformats.org/officeDocument/2006/relationships/hyperlink" Target="https://homeguide.com/costs/chimney-fireplace-removal-cost" TargetMode="External"/><Relationship Id="rId17" Type="http://schemas.openxmlformats.org/officeDocument/2006/relationships/hyperlink" Target="https://www.angi.com/articles/how-much-does-installing-new-ac-cost.htm" TargetMode="External"/><Relationship Id="rId2" Type="http://schemas.openxmlformats.org/officeDocument/2006/relationships/hyperlink" Target="https://www.angi.com/articles/how-much-does-it-cost-install-new-furnace.htm" TargetMode="External"/><Relationship Id="rId16" Type="http://schemas.openxmlformats.org/officeDocument/2006/relationships/hyperlink" Target="https://homeguide.com/costs/heat-pump-cost" TargetMode="External"/><Relationship Id="rId20" Type="http://schemas.openxmlformats.org/officeDocument/2006/relationships/drawing" Target="../drawings/drawing16.xml"/><Relationship Id="rId1" Type="http://schemas.openxmlformats.org/officeDocument/2006/relationships/hyperlink" Target="https://www.commtank.com/ufaqs/how-much-does-furnace-removal-cost/" TargetMode="External"/><Relationship Id="rId6" Type="http://schemas.openxmlformats.org/officeDocument/2006/relationships/hyperlink" Target="https://homeguide.com/costs/boiler-replacement-cost" TargetMode="External"/><Relationship Id="rId11" Type="http://schemas.openxmlformats.org/officeDocument/2006/relationships/hyperlink" Target="https://www.angi.com/articles/propane-tank-installation-cost.htm" TargetMode="External"/><Relationship Id="rId5" Type="http://schemas.openxmlformats.org/officeDocument/2006/relationships/hyperlink" Target="https://todayshomeowner.com/hvac/cost/boiler-replacement-cost/" TargetMode="External"/><Relationship Id="rId15" Type="http://schemas.openxmlformats.org/officeDocument/2006/relationships/hyperlink" Target="https://www.angi.com/articles/how-much-does-it-cost-install-ductless-mini-split-ac.htm" TargetMode="External"/><Relationship Id="rId10" Type="http://schemas.openxmlformats.org/officeDocument/2006/relationships/hyperlink" Target="https://thomasgalbraith.com/knowledge-center/ac-repair-costs/" TargetMode="External"/><Relationship Id="rId19" Type="http://schemas.openxmlformats.org/officeDocument/2006/relationships/printerSettings" Target="../printerSettings/printerSettings17.bin"/><Relationship Id="rId4" Type="http://schemas.openxmlformats.org/officeDocument/2006/relationships/hyperlink" Target="https://homeguide.com/costs/gas-boiler-prices" TargetMode="External"/><Relationship Id="rId9" Type="http://schemas.openxmlformats.org/officeDocument/2006/relationships/hyperlink" Target="https://www.angi.com/articles/how-to-remove-baseboard-heater.htm" TargetMode="External"/><Relationship Id="rId14" Type="http://schemas.openxmlformats.org/officeDocument/2006/relationships/hyperlink" Target="https://homeguide.com/costs/heat-pump-cost"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todayshomeowner.com/plumbing/cost/tankless-water-heater-installation-cost/" TargetMode="External"/><Relationship Id="rId13" Type="http://schemas.openxmlformats.org/officeDocument/2006/relationships/hyperlink" Target="https://www.forbes.com/home-improvement/plumbing/water-heater-installation-replacement-cost/" TargetMode="External"/><Relationship Id="rId18" Type="http://schemas.openxmlformats.org/officeDocument/2006/relationships/hyperlink" Target="https://www.energystar.gov/partner-resources/residential_new/educational_resources/sup_program_guidance/heat_pump_water_heater_guide/frequently_asked_questions" TargetMode="External"/><Relationship Id="rId3" Type="http://schemas.openxmlformats.org/officeDocument/2006/relationships/hyperlink" Target="https://www.gohammond.com/departments/inspections-department/building-division/" TargetMode="External"/><Relationship Id="rId21" Type="http://schemas.openxmlformats.org/officeDocument/2006/relationships/drawing" Target="../drawings/drawing17.xml"/><Relationship Id="rId7" Type="http://schemas.openxmlformats.org/officeDocument/2006/relationships/hyperlink" Target="https://www.angi.com/articles/how-much-does-tankless-water-heater-cost.htm" TargetMode="External"/><Relationship Id="rId12" Type="http://schemas.openxmlformats.org/officeDocument/2006/relationships/hyperlink" Target="https://www.angi.com/articles/gas-vs-electric-water-heaters.htm" TargetMode="External"/><Relationship Id="rId17" Type="http://schemas.openxmlformats.org/officeDocument/2006/relationships/hyperlink" Target="https://www.energystar.gov/products/ask-the-experts/what-goes-cost-installing-heat-pump-water-heater" TargetMode="External"/><Relationship Id="rId2" Type="http://schemas.openxmlformats.org/officeDocument/2006/relationships/hyperlink" Target="https://www.commtank.com/ufaqs/how-long-does-the-removal-and-installation-usually-take/" TargetMode="External"/><Relationship Id="rId16" Type="http://schemas.openxmlformats.org/officeDocument/2006/relationships/hyperlink" Target="https://www.angi.com/articles/how-much-would-it-cost-have-Plumber-cap-gas-line-was-going-gas-dryer.htm" TargetMode="External"/><Relationship Id="rId20" Type="http://schemas.openxmlformats.org/officeDocument/2006/relationships/printerSettings" Target="../printerSettings/printerSettings18.bin"/><Relationship Id="rId1" Type="http://schemas.openxmlformats.org/officeDocument/2006/relationships/hyperlink" Target="https://edwinstipe.com/free-estimate/water-heaters/" TargetMode="External"/><Relationship Id="rId6" Type="http://schemas.openxmlformats.org/officeDocument/2006/relationships/hyperlink" Target="https://homeguide.com/costs/oil-tank-removal-cost" TargetMode="External"/><Relationship Id="rId11" Type="http://schemas.openxmlformats.org/officeDocument/2006/relationships/hyperlink" Target="https://www.commtank.com/ufaqs/how-long-does-the-removal-and-installation-usually-take/" TargetMode="External"/><Relationship Id="rId5" Type="http://schemas.openxmlformats.org/officeDocument/2006/relationships/hyperlink" Target="https://homeguide.com/costs/water-heater-installation-cost" TargetMode="External"/><Relationship Id="rId15" Type="http://schemas.openxmlformats.org/officeDocument/2006/relationships/hyperlink" Target="https://www.angi.com/articles/how-much-would-it-cost-have-Plumber-cap-gas-line-was-going-gas-dryer.htm" TargetMode="External"/><Relationship Id="rId10" Type="http://schemas.openxmlformats.org/officeDocument/2006/relationships/hyperlink" Target="https://homeguide.com/costs/oil-tank-removal-cost" TargetMode="External"/><Relationship Id="rId19" Type="http://schemas.openxmlformats.org/officeDocument/2006/relationships/hyperlink" Target="https://homeguide.com/costs/gas-line-installation-cost" TargetMode="External"/><Relationship Id="rId4" Type="http://schemas.openxmlformats.org/officeDocument/2006/relationships/hyperlink" Target="https://www.forbes.com/home-improvement/plumbing/water-heater-installation-replacement-cost/" TargetMode="External"/><Relationship Id="rId9" Type="http://schemas.openxmlformats.org/officeDocument/2006/relationships/hyperlink" Target="https://homeguide.com/costs/water-heater-installation-cost" TargetMode="External"/><Relationship Id="rId14" Type="http://schemas.openxmlformats.org/officeDocument/2006/relationships/hyperlink" Target="https://www.angi.com/articles/how-much-would-it-cost-have-Plumber-cap-gas-line-was-going-gas-dryer.htm"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subzero-wolf.com/-/media/files/united-states/product-downloads/legacy-products/wolf/induction-ranges/induction-ranges-ig.pdf" TargetMode="External"/><Relationship Id="rId7" Type="http://schemas.openxmlformats.org/officeDocument/2006/relationships/hyperlink" Target="https://www.gohammond.com/departments/inspections-department/building-division/" TargetMode="External"/><Relationship Id="rId2" Type="http://schemas.openxmlformats.org/officeDocument/2006/relationships/hyperlink" Target="https://www.angi.com/articles/how-much-should-it-cost-install-range-hood-my-kitchen-running-air-ducts.htm" TargetMode="External"/><Relationship Id="rId1" Type="http://schemas.openxmlformats.org/officeDocument/2006/relationships/hyperlink" Target="https://www.angi.com/articles/appliance-removal-cost.htm" TargetMode="External"/><Relationship Id="rId6" Type="http://schemas.openxmlformats.org/officeDocument/2006/relationships/hyperlink" Target="https://beachesenergy.com/about-us/news/why-appliance-voltage-matters" TargetMode="External"/><Relationship Id="rId5" Type="http://schemas.openxmlformats.org/officeDocument/2006/relationships/hyperlink" Target="https://www.maytag.com/blog/kitchen/will-gas-stove-work-without-electricity.html" TargetMode="External"/><Relationship Id="rId4" Type="http://schemas.openxmlformats.org/officeDocument/2006/relationships/hyperlink" Target="https://www.fixr.com/costs/cooktop-installation" TargetMode="External"/><Relationship Id="rId9"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s://www.canarymedia.com/articles/heat-pumps/heat-pumps-are-everywhere-even-in-clothes-dryers" TargetMode="External"/><Relationship Id="rId3" Type="http://schemas.openxmlformats.org/officeDocument/2006/relationships/hyperlink" Target="https://slipstreaminc.org/sites/default/files/documents/research/heat-pump-clothes-dryers.pdf" TargetMode="External"/><Relationship Id="rId7" Type="http://schemas.openxmlformats.org/officeDocument/2006/relationships/hyperlink" Target="https://www.angi.com/articles/dryer-vent-cost.htm" TargetMode="External"/><Relationship Id="rId2" Type="http://schemas.openxmlformats.org/officeDocument/2006/relationships/hyperlink" Target="https://products.geappliances.com/appliance/gea-support-search-content?contentId=21998" TargetMode="External"/><Relationship Id="rId1" Type="http://schemas.openxmlformats.org/officeDocument/2006/relationships/hyperlink" Target="https://www.gohammond.com/departments/inspections-department/building-division/" TargetMode="External"/><Relationship Id="rId6" Type="http://schemas.openxmlformats.org/officeDocument/2006/relationships/hyperlink" Target="https://homeguide.com/costs/dryer-vent-installation-cost" TargetMode="External"/><Relationship Id="rId5" Type="http://schemas.openxmlformats.org/officeDocument/2006/relationships/hyperlink" Target="https://www.angi.com/articles/appliance-removal-cost.htm" TargetMode="External"/><Relationship Id="rId10" Type="http://schemas.openxmlformats.org/officeDocument/2006/relationships/drawing" Target="../drawings/drawing19.xml"/><Relationship Id="rId4" Type="http://schemas.openxmlformats.org/officeDocument/2006/relationships/hyperlink" Target="https://www.fixr.com/costs/dryer-vent-installation"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s://www.bls.gov/ooh/construction-and-extraction/plumbers-pipefitters-and-steamfitters.htm" TargetMode="External"/><Relationship Id="rId3" Type="http://schemas.openxmlformats.org/officeDocument/2006/relationships/hyperlink" Target="https://www.bls.gov/cew/publications/employment-and-wages-annual-averages/2022/" TargetMode="External"/><Relationship Id="rId7" Type="http://schemas.openxmlformats.org/officeDocument/2006/relationships/hyperlink" Target="https://www.bls.gov/ooh/installation-maintenance-and-repair/heating-air-conditioning-and-refrigeration-mechanics-and-installers.htm" TargetMode="External"/><Relationship Id="rId2" Type="http://schemas.openxmlformats.org/officeDocument/2006/relationships/hyperlink" Target="https://www.bls.gov/oes/2023/may/oes_nat.htm" TargetMode="External"/><Relationship Id="rId1" Type="http://schemas.openxmlformats.org/officeDocument/2006/relationships/hyperlink" Target="https://www.bls.gov/oes/2022/may/oes_nat.htm" TargetMode="External"/><Relationship Id="rId6" Type="http://schemas.openxmlformats.org/officeDocument/2006/relationships/hyperlink" Target="https://www.bls.gov/ooh/construction-and-extraction/electricians.htm" TargetMode="External"/><Relationship Id="rId11" Type="http://schemas.openxmlformats.org/officeDocument/2006/relationships/drawing" Target="../drawings/drawing20.xml"/><Relationship Id="rId5" Type="http://schemas.openxmlformats.org/officeDocument/2006/relationships/hyperlink" Target="https://www.bls.gov/oes/2022/may/oes_nat.htm" TargetMode="External"/><Relationship Id="rId10" Type="http://schemas.openxmlformats.org/officeDocument/2006/relationships/printerSettings" Target="../printerSettings/printerSettings21.bin"/><Relationship Id="rId4" Type="http://schemas.openxmlformats.org/officeDocument/2006/relationships/hyperlink" Target="https://www.bls.gov/cew/publications/employment-and-wages-annual-averages/2022/" TargetMode="External"/><Relationship Id="rId9" Type="http://schemas.openxmlformats.org/officeDocument/2006/relationships/hyperlink" Target="https://www.bls.gov/news.release/archives/ecec_12152022.pdf"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https://www.bls.gov/oes/2022/may/oes_nat.htm" TargetMode="External"/><Relationship Id="rId1" Type="http://schemas.openxmlformats.org/officeDocument/2006/relationships/hyperlink" Target="https://www.bls.gov/oes/2023/may/oes475022.htm" TargetMode="External"/><Relationship Id="rId4"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s://taxpolicycenter.org/sites/default/files/statistics/pdf/state_sales_tax_15.pdf" TargetMode="External"/><Relationship Id="rId7" Type="http://schemas.openxmlformats.org/officeDocument/2006/relationships/hyperlink" Target="https://taxfoundation.org/data/all/state/2022-sales-taxes/" TargetMode="External"/><Relationship Id="rId2" Type="http://schemas.openxmlformats.org/officeDocument/2006/relationships/hyperlink" Target="https://www.cdtfa.ca.gov/formspubs/pub108/" TargetMode="External"/><Relationship Id="rId1" Type="http://schemas.openxmlformats.org/officeDocument/2006/relationships/hyperlink" Target="https://www.wolterskluwer.com/en/expert-insights/understanding-sales-tax-rules-for-the-construction-industry" TargetMode="External"/><Relationship Id="rId6" Type="http://schemas.openxmlformats.org/officeDocument/2006/relationships/hyperlink" Target="https://taxhero.net/blog/sales-tax-on-services/" TargetMode="External"/><Relationship Id="rId5" Type="http://schemas.openxmlformats.org/officeDocument/2006/relationships/hyperlink" Target="https://www.census.gov/data/tables/time-series/demo/popest/2020s-national-total.html" TargetMode="External"/><Relationship Id="rId4" Type="http://schemas.openxmlformats.org/officeDocument/2006/relationships/hyperlink" Target="https://www.avalara.com/us/en/learn/whitepapers/service-taxability-by-state.html" TargetMode="External"/><Relationship Id="rId9"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8" Type="http://schemas.openxmlformats.org/officeDocument/2006/relationships/hyperlink" Target="https://www.energystar.gov/about/federal-tax-credits/air-source-heat-pumps" TargetMode="External"/><Relationship Id="rId13" Type="http://schemas.openxmlformats.org/officeDocument/2006/relationships/hyperlink" Target="https://www.energy.gov/eere/geothermal/tax-credits-incentives-and-technical-assistance-geothermal-heat-pumps" TargetMode="External"/><Relationship Id="rId3" Type="http://schemas.openxmlformats.org/officeDocument/2006/relationships/hyperlink" Target="https://archinect.com/news/article/150404215/washington-state-effectively-bans-fossil-fueled-appliances-in-new-construction" TargetMode="External"/><Relationship Id="rId7" Type="http://schemas.openxmlformats.org/officeDocument/2006/relationships/hyperlink" Target="https://www.irs.gov/credits-deductions/residential-clean-energy-credit" TargetMode="External"/><Relationship Id="rId12" Type="http://schemas.openxmlformats.org/officeDocument/2006/relationships/hyperlink" Target="https://www.nyserda.ny.gov/Featured-Stories/US-Heat-Pump-Sales" TargetMode="External"/><Relationship Id="rId17" Type="http://schemas.openxmlformats.org/officeDocument/2006/relationships/drawing" Target="../drawings/drawing23.xml"/><Relationship Id="rId2" Type="http://schemas.openxmlformats.org/officeDocument/2006/relationships/hyperlink" Target="https://www.in.gov/oed/grants-and-funding-opportunities/homeowner-incentives/" TargetMode="External"/><Relationship Id="rId16" Type="http://schemas.openxmlformats.org/officeDocument/2006/relationships/printerSettings" Target="../printerSettings/printerSettings24.bin"/><Relationship Id="rId1" Type="http://schemas.openxmlformats.org/officeDocument/2006/relationships/hyperlink" Target="https://www.climatepolicydashboard.org/policies/buildings-efficiency/appliance-standards" TargetMode="External"/><Relationship Id="rId6" Type="http://schemas.openxmlformats.org/officeDocument/2006/relationships/hyperlink" Target="https://www.irs.gov/credits-deductions/residential-clean-energy-credit" TargetMode="External"/><Relationship Id="rId11" Type="http://schemas.openxmlformats.org/officeDocument/2006/relationships/hyperlink" Target="https://www.aspentech.com/en/insights/industrial-ai-from-aspentech" TargetMode="External"/><Relationship Id="rId5" Type="http://schemas.openxmlformats.org/officeDocument/2006/relationships/hyperlink" Target="https://www.irs.gov/credits-deductions/energy-efficient-home-improvement-credit" TargetMode="External"/><Relationship Id="rId15" Type="http://schemas.openxmlformats.org/officeDocument/2006/relationships/hyperlink" Target="https://www.aga.org/natural-gas-or-a-heat-pump-where-you-live-matters/" TargetMode="External"/><Relationship Id="rId10" Type="http://schemas.openxmlformats.org/officeDocument/2006/relationships/hyperlink" Target="https://www.energy.gov/eere/buildings/appliance-and-equipment-standards-program" TargetMode="External"/><Relationship Id="rId4" Type="http://schemas.openxmlformats.org/officeDocument/2006/relationships/hyperlink" Target="https://www.barrons.com/video/is-the-power-grid-up-to-the-challenge/40329916-18C6-4685-AA66-073D348A09BA?" TargetMode="External"/><Relationship Id="rId9" Type="http://schemas.openxmlformats.org/officeDocument/2006/relationships/hyperlink" Target="https://www.irs.gov/credits-deductions/energy-efficient-home-improvement-credit" TargetMode="External"/><Relationship Id="rId14" Type="http://schemas.openxmlformats.org/officeDocument/2006/relationships/hyperlink" Target="https://www.irs.gov/credits-deductions/energy-efficient-home-improvement-credit"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aga.org/wp-content/uploads/2024/05/240516-AGA-Energy-Star-2024-Furnace-Comments-Final.pdf" TargetMode="External"/><Relationship Id="rId13" Type="http://schemas.openxmlformats.org/officeDocument/2006/relationships/hyperlink" Target="https://www.energystar.gov/products/furnaces/key_product_criteria" TargetMode="External"/><Relationship Id="rId3" Type="http://schemas.openxmlformats.org/officeDocument/2006/relationships/hyperlink" Target="https://www.eia.gov/consumption/residential/data/2020/hc/pdf/HC%206.8.pdf" TargetMode="External"/><Relationship Id="rId7" Type="http://schemas.openxmlformats.org/officeDocument/2006/relationships/hyperlink" Target="https://www.eia.gov/todayinenergy/detail.php?id=20011" TargetMode="External"/><Relationship Id="rId12" Type="http://schemas.openxmlformats.org/officeDocument/2006/relationships/hyperlink" Target="https://www.energystar.gov/products/boilers" TargetMode="External"/><Relationship Id="rId2" Type="http://schemas.openxmlformats.org/officeDocument/2006/relationships/hyperlink" Target="https://www.aga.org/wp-content/uploads/2023/06/AGA-Energy-Insights-Empowering-Consumer-Choices-Analyzing-the-Impact-of-the-ENERGY-STAR-Program-on-the-Adoption-of-High-Efficiency-Gas-Appliances.pdf" TargetMode="External"/><Relationship Id="rId1" Type="http://schemas.openxmlformats.org/officeDocument/2006/relationships/hyperlink" Target="https://www.energystar.gov/partner-resources/products_partner_resources/brand-owner/unit-shipment-data/archives" TargetMode="External"/><Relationship Id="rId6" Type="http://schemas.openxmlformats.org/officeDocument/2006/relationships/hyperlink" Target="https://www.energystar.gov/sites/default/files/asset/document/ENERGY%20STAR%20Commercial%20Boiler%20Design%20Guide.pdf" TargetMode="External"/><Relationship Id="rId11" Type="http://schemas.openxmlformats.org/officeDocument/2006/relationships/hyperlink" Target="https://www.eia.gov/energyexplained/heating-oil/use-of-heating-oil.php" TargetMode="External"/><Relationship Id="rId5" Type="http://schemas.openxmlformats.org/officeDocument/2006/relationships/hyperlink" Target="https://www.gsa.gov/system/files/GPG_Findings_004-Condensing_Boilers.pdf" TargetMode="External"/><Relationship Id="rId15" Type="http://schemas.openxmlformats.org/officeDocument/2006/relationships/drawing" Target="../drawings/drawing24.xml"/><Relationship Id="rId10" Type="http://schemas.openxmlformats.org/officeDocument/2006/relationships/hyperlink" Target="https://www.aga.org/wp-content/uploads/2023/06/AGA-Energy-Insights-Empowering-Consumer-Choices-Analyzing-the-Impact-of-the-ENERGY-STAR-Program-on-the-Adoption-of-High-Efficiency-Gas-Appliances.pdf" TargetMode="External"/><Relationship Id="rId4" Type="http://schemas.openxmlformats.org/officeDocument/2006/relationships/hyperlink" Target="https://www.eia.gov/energyexplained/heating-oil/use-of-heating-oil.php" TargetMode="External"/><Relationship Id="rId9" Type="http://schemas.openxmlformats.org/officeDocument/2006/relationships/hyperlink" Target="https://www.eia.gov/consumption/residential/data/2020/hc/pdf/HC%206.6.pdf" TargetMode="External"/><Relationship Id="rId14"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hyperlink" Target="https://www.energy.gov/energysaver/heat-pump-systems" TargetMode="External"/><Relationship Id="rId3" Type="http://schemas.openxmlformats.org/officeDocument/2006/relationships/hyperlink" Target="https://www.eia.gov/consumption/residential/data/2020/hc/pdf/HC%207.9.pdf" TargetMode="External"/><Relationship Id="rId7" Type="http://schemas.openxmlformats.org/officeDocument/2006/relationships/hyperlink" Target="https://bsesc.energy.gov/sites/default/files/2024-10/Guide%20To%20Sizing%20%26%20Selecting%20Air-Source.pdf" TargetMode="External"/><Relationship Id="rId12" Type="http://schemas.openxmlformats.org/officeDocument/2006/relationships/drawing" Target="../drawings/drawing25.xml"/><Relationship Id="rId2" Type="http://schemas.openxmlformats.org/officeDocument/2006/relationships/hyperlink" Target="https://www.eia.gov/consumption/residential/data/2020/hc/pdf/HC%207.6.pdf" TargetMode="External"/><Relationship Id="rId1" Type="http://schemas.openxmlformats.org/officeDocument/2006/relationships/hyperlink" Target="https://www.eia.gov/consumption/residential/data/2020/hc/pdf/HC%207.1.pdf" TargetMode="External"/><Relationship Id="rId6" Type="http://schemas.openxmlformats.org/officeDocument/2006/relationships/hyperlink" Target="https://www.energy.gov/energysaver/ductless-minisplit-heat-pumps" TargetMode="External"/><Relationship Id="rId11" Type="http://schemas.openxmlformats.org/officeDocument/2006/relationships/printerSettings" Target="../printerSettings/printerSettings26.bin"/><Relationship Id="rId5" Type="http://schemas.openxmlformats.org/officeDocument/2006/relationships/hyperlink" Target="https://www.eia.gov/consumption/residential/maps.php" TargetMode="External"/><Relationship Id="rId10" Type="http://schemas.openxmlformats.org/officeDocument/2006/relationships/hyperlink" Target="https://www.eia.gov/consumption/residential/data/2020/index.php?view=consumption&amp;src=%E2%80%B9%20Consumption%20%20%20%20%20%20Residential%20Energy%20Consumption%20Survey%20(RECS)-f3" TargetMode="External"/><Relationship Id="rId4" Type="http://schemas.openxmlformats.org/officeDocument/2006/relationships/hyperlink" Target="https://www.eia.gov/analysis/studies/buildings/equipcosts/pdf/appendix-a.pdf" TargetMode="External"/><Relationship Id="rId9" Type="http://schemas.openxmlformats.org/officeDocument/2006/relationships/hyperlink" Target="https://www1.eere.energy.gov/buildings/publications/pdfs/building_america/mini_split_pumps.pdf"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s://buildern.com/resources/blog/general-contractor-markup/" TargetMode="External"/><Relationship Id="rId2" Type="http://schemas.openxmlformats.org/officeDocument/2006/relationships/hyperlink" Target="https://www.angi.com/articles/general-contractor-markup.htm" TargetMode="External"/><Relationship Id="rId1" Type="http://schemas.openxmlformats.org/officeDocument/2006/relationships/hyperlink" Target="https://www.servicetitan.com/tools/general-parts-markup-calculator" TargetMode="External"/><Relationship Id="rId5" Type="http://schemas.openxmlformats.org/officeDocument/2006/relationships/drawing" Target="../drawings/drawing26.xml"/><Relationship Id="rId4"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8.bin"/><Relationship Id="rId1" Type="http://schemas.openxmlformats.org/officeDocument/2006/relationships/hyperlink" Target="https://www.angi.com/articles/how-much-should-it-cost-hook-gas-dryer.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1EADD-778F-4458-84AC-B2F244EB4E3A}">
  <sheetPr codeName="Sheet2"/>
  <dimension ref="A41:T42"/>
  <sheetViews>
    <sheetView tabSelected="1" zoomScale="70" zoomScaleNormal="70" workbookViewId="0"/>
  </sheetViews>
  <sheetFormatPr defaultColWidth="9.140625" defaultRowHeight="15" x14ac:dyDescent="0.25"/>
  <cols>
    <col min="1" max="16384" width="9.140625" style="658"/>
  </cols>
  <sheetData>
    <row r="41" spans="1:20" ht="31.5" x14ac:dyDescent="0.5">
      <c r="A41" s="1075" t="s">
        <v>1628</v>
      </c>
    </row>
    <row r="42" spans="1:20" ht="275.25" customHeight="1" x14ac:dyDescent="0.4">
      <c r="A42" s="1083" t="s">
        <v>1627</v>
      </c>
      <c r="B42" s="1083"/>
      <c r="C42" s="1083"/>
      <c r="D42" s="1083"/>
      <c r="E42" s="1083"/>
      <c r="F42" s="1083"/>
      <c r="G42" s="1083"/>
      <c r="H42" s="1083"/>
      <c r="I42" s="1083"/>
      <c r="J42" s="1083"/>
      <c r="K42" s="1083"/>
      <c r="L42" s="1083"/>
      <c r="M42" s="1083"/>
      <c r="N42" s="1083"/>
      <c r="O42" s="1083"/>
      <c r="P42" s="1083"/>
      <c r="Q42" s="1083"/>
      <c r="R42" s="1083"/>
      <c r="S42" s="1083"/>
      <c r="T42" s="1083"/>
    </row>
  </sheetData>
  <mergeCells count="1">
    <mergeCell ref="A42:T42"/>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1F967-48F4-4044-AAFC-C043A5D225D9}">
  <sheetPr>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26.1"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1179</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Costs'!$C$16:$AW$16)</f>
        <v>3835.2203950167022</v>
      </c>
      <c r="G10" s="140" cm="1">
        <f t="array" ref="G10">SUMPRODUCT(ISNUMBER( SEARCH('13 Space Heating Costs'!$C$7:$AW$7,'12 Space Heating Subcomponents'!I12)) *'13 Space Heating Costs'!$C$16:$AW$16)</f>
        <v>5532.3487105692584</v>
      </c>
      <c r="H10" s="140" cm="1">
        <f t="array" ref="H10">SUMPRODUCT(ISNUMBER( SEARCH('13 Space Heating Costs'!$C$7:$AW$7,'12 Space Heating Subcomponents'!J12)) *'13 Space Heating Costs'!$C$16:$AW$16)</f>
        <v>7125.9128750955188</v>
      </c>
      <c r="I10" s="140" cm="1">
        <f t="array" ref="I10">SUMPRODUCT(ISNUMBER( SEARCH('13 Space Heating Costs'!$C$7:$AW$7,'12 Space Heating Subcomponents'!K12)) *'13 Space Heating Costs'!$C$16:$AW$16)</f>
        <v>3150.5021217823351</v>
      </c>
      <c r="J10" s="140" cm="1">
        <f t="array" ref="J10">SUMPRODUCT(ISNUMBER( SEARCH('13 Space Heating Costs'!$C$7:$AW$7,'12 Space Heating Subcomponents'!L12)) *'13 Space Heating Costs'!$C$16:$AW$16)</f>
        <v>6398.6995574737857</v>
      </c>
      <c r="K10" s="140" cm="1">
        <f t="array" ref="K10">SUMPRODUCT(ISNUMBER( SEARCH('13 Space Heating Costs'!$C$7:$AW$7,'12 Space Heating Subcomponents'!M12)) *'13 Space Heating Costs'!$C$16:$AW$16)</f>
        <v>3617.9476100433712</v>
      </c>
      <c r="L10" s="140" cm="1">
        <f t="array" ref="L10">SUMPRODUCT(ISNUMBER( SEARCH('13 Space Heating Costs'!$C$7:$AW$7,'12 Space Heating Subcomponents'!N12)) *'13 Space Heating Costs'!$C$16:$AW$16)</f>
        <v>6956.4470150579764</v>
      </c>
      <c r="M10" s="140" cm="1">
        <f t="array" ref="M10">SUMPRODUCT(ISNUMBER( SEARCH('13 Space Heating Costs'!$C$7:$AW$7,'12 Space Heating Subcomponents'!O12)) *'13 Space Heating Costs'!$C$16:$AW$16)</f>
        <v>3617.9476100433712</v>
      </c>
      <c r="N10" s="140" cm="1">
        <f t="array" ref="N10">SUMPRODUCT(ISNUMBER( SEARCH('13 Space Heating Costs'!$C$7:$AW$7,'12 Space Heating Subcomponents'!P12)) *'13 Space Heating Costs'!$C$16:$AW$16)</f>
        <v>3537.7550843051331</v>
      </c>
      <c r="O10" s="402" cm="1">
        <f t="array" ref="O10">SUMPRODUCT(ISNUMBER( SEARCH('13 Space Heating Costs'!$C$7:$AW$7,'12 Space Heating Subcomponents'!Q12)) *'13 Space Heating Costs'!$C$16:$AW$16)</f>
        <v>8820.917087553702</v>
      </c>
      <c r="P10" s="72"/>
      <c r="Q10" s="1105"/>
      <c r="R10" s="181" t="s">
        <v>242</v>
      </c>
      <c r="S10" s="181" t="s">
        <v>243</v>
      </c>
      <c r="T10" s="139"/>
      <c r="U10" s="140" cm="1">
        <f t="array" ref="U10">SUMPRODUCT(ISNUMBER( SEARCH('13 Space Heating Costs'!$C$7:$AW$7,'12 Space Heating Subcomponents'!H28)) *'13 Space Heating Costs'!$C$16:$AW$16)</f>
        <v>4618.0083040765894</v>
      </c>
      <c r="V10" s="140" cm="1">
        <f t="array" ref="V10">SUMPRODUCT(ISNUMBER( SEARCH('13 Space Heating Costs'!$C$7:$AW$7,'12 Space Heating Subcomponents'!I28)) *'13 Space Heating Costs'!$C$16:$AW$16)</f>
        <v>6315.1366196291456</v>
      </c>
      <c r="W10" s="140" cm="1">
        <f t="array" ref="W10">SUMPRODUCT(ISNUMBER( SEARCH('13 Space Heating Costs'!$C$7:$AW$7,'12 Space Heating Subcomponents'!J28)) *'13 Space Heating Costs'!$C$16:$AW$16)</f>
        <v>7908.7007841554059</v>
      </c>
      <c r="X10" s="140" cm="1">
        <f t="array" ref="X10">SUMPRODUCT(ISNUMBER( SEARCH('13 Space Heating Costs'!$C$7:$AW$7,'12 Space Heating Subcomponents'!K28)) *'13 Space Heating Costs'!$C$16:$AW$16)</f>
        <v>3933.2900308422222</v>
      </c>
      <c r="Y10" s="140" cm="1">
        <f t="array" ref="Y10">SUMPRODUCT(ISNUMBER( SEARCH('13 Space Heating Costs'!$C$7:$AW$7,'12 Space Heating Subcomponents'!L28)) *'13 Space Heating Costs'!$C$16:$AW$16)</f>
        <v>7181.4874665336729</v>
      </c>
      <c r="Z10" s="140" cm="1">
        <f t="array" ref="Z10">SUMPRODUCT(ISNUMBER( SEARCH('13 Space Heating Costs'!$C$7:$AW$7,'12 Space Heating Subcomponents'!M28)) *'13 Space Heating Costs'!$C$16:$AW$16)</f>
        <v>4400.7355191032584</v>
      </c>
      <c r="AA10" s="140" cm="1">
        <f t="array" ref="AA10">SUMPRODUCT(ISNUMBER( SEARCH('13 Space Heating Costs'!$C$7:$AW$7,'12 Space Heating Subcomponents'!N28)) *'13 Space Heating Costs'!$C$16:$AW$16)</f>
        <v>7739.2349241178636</v>
      </c>
      <c r="AB10" s="140" cm="1">
        <f t="array" ref="AB10">SUMPRODUCT(ISNUMBER( SEARCH('13 Space Heating Costs'!$C$7:$AW$7,'12 Space Heating Subcomponents'!O28)) *'13 Space Heating Costs'!$C$16:$AW$16)</f>
        <v>4400.7355191032584</v>
      </c>
      <c r="AC10" s="140" cm="1">
        <f t="array" ref="AC10">SUMPRODUCT(ISNUMBER( SEARCH('13 Space Heating Costs'!$C$7:$AW$7,'12 Space Heating Subcomponents'!P28)) *'13 Space Heating Costs'!$C$16:$AW$16)</f>
        <v>4320.5429933650203</v>
      </c>
      <c r="AD10" s="402" cm="1">
        <f t="array" ref="AD10">SUMPRODUCT(ISNUMBER( SEARCH('13 Space Heating Costs'!$C$7:$AW$7,'12 Space Heating Subcomponents'!Q28)) *'13 Space Heating Costs'!$C$16:$AW$16)</f>
        <v>9603.7049966135892</v>
      </c>
      <c r="AE10" s="72"/>
      <c r="AF10" s="1105"/>
      <c r="AG10" s="181" t="s">
        <v>242</v>
      </c>
      <c r="AH10" s="181" t="s">
        <v>243</v>
      </c>
      <c r="AI10" s="139"/>
      <c r="AJ10" s="140" cm="1">
        <f t="array" ref="AJ10">SUMPRODUCT(ISNUMBER( SEARCH('13 Space Heating Costs'!$C$7:$AW$7,'12 Space Heating Subcomponents'!H44)) *'13 Space Heating Costs'!$C$16:$AW$16)</f>
        <v>3499.9665069146149</v>
      </c>
      <c r="AK10" s="140" cm="1">
        <f t="array" ref="AK10">SUMPRODUCT(ISNUMBER( SEARCH('13 Space Heating Costs'!$C$7:$AW$7,'12 Space Heating Subcomponents'!I44)) *'13 Space Heating Costs'!$C$16:$AW$16)</f>
        <v>5197.094822467172</v>
      </c>
      <c r="AL10" s="140" cm="1">
        <f t="array" ref="AL10">SUMPRODUCT(ISNUMBER( SEARCH('13 Space Heating Costs'!$C$7:$AW$7,'12 Space Heating Subcomponents'!J44)) *'13 Space Heating Costs'!$C$16:$AW$16)</f>
        <v>6790.6589869934323</v>
      </c>
      <c r="AM10" s="140" cm="1">
        <f t="array" ref="AM10">SUMPRODUCT(ISNUMBER( SEARCH('13 Space Heating Costs'!$C$7:$AW$7,'12 Space Heating Subcomponents'!K44)) *'13 Space Heating Costs'!$C$16:$AW$16)</f>
        <v>2815.2482336802482</v>
      </c>
      <c r="AN10" s="140" cm="1">
        <f t="array" ref="AN10">SUMPRODUCT(ISNUMBER( SEARCH('13 Space Heating Costs'!$C$7:$AW$7,'12 Space Heating Subcomponents'!L44)) *'13 Space Heating Costs'!$C$16:$AW$16)</f>
        <v>6063.4456693716984</v>
      </c>
      <c r="AO10" s="140" cm="1">
        <f t="array" ref="AO10">SUMPRODUCT(ISNUMBER( SEARCH('13 Space Heating Costs'!$C$7:$AW$7,'12 Space Heating Subcomponents'!M44)) *'13 Space Heating Costs'!$C$16:$AW$16)</f>
        <v>3282.6937219412844</v>
      </c>
      <c r="AP10" s="140" cm="1">
        <f t="array" ref="AP10">SUMPRODUCT(ISNUMBER( SEARCH('13 Space Heating Costs'!$C$7:$AW$7,'12 Space Heating Subcomponents'!N44)) *'13 Space Heating Costs'!$C$16:$AW$16)</f>
        <v>6621.19312695589</v>
      </c>
      <c r="AQ10" s="140" cm="1">
        <f t="array" ref="AQ10">SUMPRODUCT(ISNUMBER( SEARCH('13 Space Heating Costs'!$C$7:$AW$7,'12 Space Heating Subcomponents'!O44)) *'13 Space Heating Costs'!$C$16:$AW$16)</f>
        <v>3282.6937219412844</v>
      </c>
      <c r="AR10" s="140" cm="1">
        <f t="array" ref="AR10">SUMPRODUCT(ISNUMBER( SEARCH('13 Space Heating Costs'!$C$7:$AW$7,'12 Space Heating Subcomponents'!P44)) *'13 Space Heating Costs'!$C$16:$AW$16)</f>
        <v>3202.5011962030462</v>
      </c>
      <c r="AS10" s="402" cm="1">
        <f t="array" ref="AS10">SUMPRODUCT(ISNUMBER( SEARCH('13 Space Heating Costs'!$C$7:$AW$7,'12 Space Heating Subcomponents'!Q44)) *'13 Space Heating Costs'!$C$16:$AW$16)</f>
        <v>8485.6631994516138</v>
      </c>
      <c r="AT10" s="72"/>
    </row>
    <row r="11" spans="1:46" ht="200.1" customHeight="1" x14ac:dyDescent="0.25">
      <c r="A11" s="60"/>
      <c r="B11" s="1105"/>
      <c r="C11" s="182" t="s">
        <v>244</v>
      </c>
      <c r="D11" s="182" t="s">
        <v>243</v>
      </c>
      <c r="E11" s="139"/>
      <c r="F11" s="139"/>
      <c r="G11" s="139"/>
      <c r="H11" s="139"/>
      <c r="I11" s="139"/>
      <c r="J11" s="139"/>
      <c r="K11" s="139"/>
      <c r="L11" s="139"/>
      <c r="M11" s="139"/>
      <c r="N11" s="139"/>
      <c r="O11" s="141"/>
      <c r="P11" s="72"/>
      <c r="Q11" s="1105"/>
      <c r="R11" s="182" t="s">
        <v>244</v>
      </c>
      <c r="S11" s="182" t="s">
        <v>243</v>
      </c>
      <c r="T11" s="139"/>
      <c r="U11" s="139"/>
      <c r="V11" s="139"/>
      <c r="W11" s="139"/>
      <c r="X11" s="139"/>
      <c r="Y11" s="139"/>
      <c r="Z11" s="139"/>
      <c r="AA11" s="139"/>
      <c r="AB11" s="139"/>
      <c r="AC11" s="139"/>
      <c r="AD11" s="141"/>
      <c r="AE11" s="72"/>
      <c r="AF11" s="1105"/>
      <c r="AG11" s="182" t="s">
        <v>244</v>
      </c>
      <c r="AH11" s="182" t="s">
        <v>243</v>
      </c>
      <c r="AI11" s="139"/>
      <c r="AJ11" s="139"/>
      <c r="AK11" s="139"/>
      <c r="AL11" s="139"/>
      <c r="AM11" s="139"/>
      <c r="AN11" s="139"/>
      <c r="AO11" s="139"/>
      <c r="AP11" s="139"/>
      <c r="AQ11" s="139"/>
      <c r="AR11" s="139"/>
      <c r="AS11" s="141"/>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Costs'!$C$16:$AW$16)</f>
        <v>7273.324722420346</v>
      </c>
      <c r="F12" s="140" cm="1">
        <f t="array" ref="F12">SUMPRODUCT(ISNUMBER( SEARCH('13 Space Heating Costs'!$C$7:$AW$7,'12 Space Heating Subcomponents'!H14)) *'13 Space Heating Costs'!$C$16:$AW$16)</f>
        <v>8861.2228810282904</v>
      </c>
      <c r="G12" s="139"/>
      <c r="H12" s="140" cm="1">
        <f t="array" ref="H12">SUMPRODUCT(ISNUMBER( SEARCH('13 Space Heating Costs'!$C$7:$AW$7,'12 Space Heating Subcomponents'!J14)) *'13 Space Heating Costs'!$C$16:$AW$16)</f>
        <v>3395.7915852117994</v>
      </c>
      <c r="I12" s="140" cm="1">
        <f t="array" ref="I12">SUMPRODUCT(ISNUMBER( SEARCH('13 Space Heating Costs'!$C$7:$AW$7,'12 Space Heating Subcomponents'!K14)) *'13 Space Heating Costs'!$C$16:$AW$16)</f>
        <v>7344.8308378391393</v>
      </c>
      <c r="J12" s="140" cm="1">
        <f t="array" ref="J12">SUMPRODUCT(ISNUMBER( SEARCH('13 Space Heating Costs'!$C$7:$AW$7,'12 Space Heating Subcomponents'!L14)) *'13 Space Heating Costs'!$C$16:$AW$16)</f>
        <v>7302.3357934517735</v>
      </c>
      <c r="K12" s="140" cm="1">
        <f t="array" ref="K12">SUMPRODUCT(ISNUMBER( SEARCH('13 Space Heating Costs'!$C$7:$AW$7,'12 Space Heating Subcomponents'!M14)) *'13 Space Heating Costs'!$C$16:$AW$16)</f>
        <v>8643.9500960549594</v>
      </c>
      <c r="L12" s="140" cm="1">
        <f t="array" ref="L12">SUMPRODUCT(ISNUMBER( SEARCH('13 Space Heating Costs'!$C$7:$AW$7,'12 Space Heating Subcomponents'!N14)) *'13 Space Heating Costs'!$C$16:$AW$16)</f>
        <v>7860.0832510359633</v>
      </c>
      <c r="M12" s="140" cm="1">
        <f t="array" ref="M12">SUMPRODUCT(ISNUMBER( SEARCH('13 Space Heating Costs'!$C$7:$AW$7,'12 Space Heating Subcomponents'!O14)) *'13 Space Heating Costs'!$C$16:$AW$16)</f>
        <v>8643.9500960549594</v>
      </c>
      <c r="N12" s="140" cm="1">
        <f t="array" ref="N12">SUMPRODUCT(ISNUMBER( SEARCH('13 Space Heating Costs'!$C$7:$AW$7,'12 Space Heating Subcomponents'!P14)) *'13 Space Heating Costs'!$C$16:$AW$16)</f>
        <v>8563.7575703167222</v>
      </c>
      <c r="O12" s="402" cm="1">
        <f t="array" ref="O12">SUMPRODUCT(ISNUMBER( SEARCH('13 Space Heating Costs'!$C$7:$AW$7,'12 Space Heating Subcomponents'!Q14)) *'13 Space Heating Costs'!$C$16:$AW$16)</f>
        <v>13015.245803610505</v>
      </c>
      <c r="P12" s="72"/>
      <c r="Q12" s="1105"/>
      <c r="R12" s="181" t="s">
        <v>242</v>
      </c>
      <c r="S12" s="181" t="s">
        <v>245</v>
      </c>
      <c r="T12" s="140" cm="1">
        <f t="array" ref="T12">SUMPRODUCT(ISNUMBER( SEARCH('13 Space Heating Costs'!$C$7:$AW$7,'12 Space Heating Subcomponents'!G30)) *'13 Space Heating Costs'!$C$16:$AW$16)</f>
        <v>7720.5414412851351</v>
      </c>
      <c r="U12" s="140" cm="1">
        <f t="array" ref="U12">SUMPRODUCT(ISNUMBER( SEARCH('13 Space Heating Costs'!$C$7:$AW$7,'12 Space Heating Subcomponents'!H30)) *'13 Space Heating Costs'!$C$16:$AW$16)</f>
        <v>9308.4395998930795</v>
      </c>
      <c r="V12" s="139"/>
      <c r="W12" s="140" cm="1">
        <f t="array" ref="W12">SUMPRODUCT(ISNUMBER( SEARCH('13 Space Heating Costs'!$C$7:$AW$7,'12 Space Heating Subcomponents'!J30)) *'13 Space Heating Costs'!$C$16:$AW$16)</f>
        <v>3843.0083040765894</v>
      </c>
      <c r="X12" s="140" cm="1">
        <f t="array" ref="X12">SUMPRODUCT(ISNUMBER( SEARCH('13 Space Heating Costs'!$C$7:$AW$7,'12 Space Heating Subcomponents'!K30)) *'13 Space Heating Costs'!$C$16:$AW$16)</f>
        <v>7792.0475567039293</v>
      </c>
      <c r="Y12" s="140" cm="1">
        <f t="array" ref="Y12">SUMPRODUCT(ISNUMBER( SEARCH('13 Space Heating Costs'!$C$7:$AW$7,'12 Space Heating Subcomponents'!L30)) *'13 Space Heating Costs'!$C$16:$AW$16)</f>
        <v>7749.5525123165626</v>
      </c>
      <c r="Z12" s="140" cm="1">
        <f t="array" ref="Z12">SUMPRODUCT(ISNUMBER( SEARCH('13 Space Heating Costs'!$C$7:$AW$7,'12 Space Heating Subcomponents'!M30)) *'13 Space Heating Costs'!$C$16:$AW$16)</f>
        <v>9091.1668149197503</v>
      </c>
      <c r="AA12" s="140" cm="1">
        <f t="array" ref="AA12">SUMPRODUCT(ISNUMBER( SEARCH('13 Space Heating Costs'!$C$7:$AW$7,'12 Space Heating Subcomponents'!N30)) *'13 Space Heating Costs'!$C$16:$AW$16)</f>
        <v>8307.2999699007541</v>
      </c>
      <c r="AB12" s="140" cm="1">
        <f t="array" ref="AB12">SUMPRODUCT(ISNUMBER( SEARCH('13 Space Heating Costs'!$C$7:$AW$7,'12 Space Heating Subcomponents'!O30)) *'13 Space Heating Costs'!$C$16:$AW$16)</f>
        <v>9091.1668149197503</v>
      </c>
      <c r="AC12" s="140" cm="1">
        <f t="array" ref="AC12">SUMPRODUCT(ISNUMBER( SEARCH('13 Space Heating Costs'!$C$7:$AW$7,'12 Space Heating Subcomponents'!P30)) *'13 Space Heating Costs'!$C$16:$AW$16)</f>
        <v>9010.9742891815113</v>
      </c>
      <c r="AD12" s="402" cm="1">
        <f t="array" ref="AD12">SUMPRODUCT(ISNUMBER( SEARCH('13 Space Heating Costs'!$C$7:$AW$7,'12 Space Heating Subcomponents'!Q30)) *'13 Space Heating Costs'!$C$16:$AW$16)</f>
        <v>13462.462522475296</v>
      </c>
      <c r="AE12" s="72"/>
      <c r="AF12" s="1105"/>
      <c r="AG12" s="181" t="s">
        <v>242</v>
      </c>
      <c r="AH12" s="181" t="s">
        <v>245</v>
      </c>
      <c r="AI12" s="140" cm="1">
        <f t="array" ref="AI12">SUMPRODUCT(ISNUMBER( SEARCH('13 Space Heating Costs'!$C$7:$AW$7,'12 Space Heating Subcomponents'!G46)) *'13 Space Heating Costs'!$C$16:$AW$16)</f>
        <v>6602.4996441231615</v>
      </c>
      <c r="AJ12" s="140" cm="1">
        <f t="array" ref="AJ12">SUMPRODUCT(ISNUMBER( SEARCH('13 Space Heating Costs'!$C$7:$AW$7,'12 Space Heating Subcomponents'!H46)) *'13 Space Heating Costs'!$C$16:$AW$16)</f>
        <v>8190.3978027311059</v>
      </c>
      <c r="AK12" s="139"/>
      <c r="AL12" s="140" cm="1">
        <f t="array" ref="AL12">SUMPRODUCT(ISNUMBER( SEARCH('13 Space Heating Costs'!$C$7:$AW$7,'12 Space Heating Subcomponents'!J46)) *'13 Space Heating Costs'!$C$16:$AW$16)</f>
        <v>2724.9665069146149</v>
      </c>
      <c r="AM12" s="140" cm="1">
        <f t="array" ref="AM12">SUMPRODUCT(ISNUMBER( SEARCH('13 Space Heating Costs'!$C$7:$AW$7,'12 Space Heating Subcomponents'!K46)) *'13 Space Heating Costs'!$C$16:$AW$16)</f>
        <v>6674.0057595419548</v>
      </c>
      <c r="AN12" s="140" cm="1">
        <f t="array" ref="AN12">SUMPRODUCT(ISNUMBER( SEARCH('13 Space Heating Costs'!$C$7:$AW$7,'12 Space Heating Subcomponents'!L46)) *'13 Space Heating Costs'!$C$16:$AW$16)</f>
        <v>6631.510715154589</v>
      </c>
      <c r="AO12" s="140" cm="1">
        <f t="array" ref="AO12">SUMPRODUCT(ISNUMBER( SEARCH('13 Space Heating Costs'!$C$7:$AW$7,'12 Space Heating Subcomponents'!M46)) *'13 Space Heating Costs'!$C$16:$AW$16)</f>
        <v>7973.1250177577749</v>
      </c>
      <c r="AP12" s="140" cm="1">
        <f t="array" ref="AP12">SUMPRODUCT(ISNUMBER( SEARCH('13 Space Heating Costs'!$C$7:$AW$7,'12 Space Heating Subcomponents'!N46)) *'13 Space Heating Costs'!$C$16:$AW$16)</f>
        <v>7189.2581727387787</v>
      </c>
      <c r="AQ12" s="140" cm="1">
        <f t="array" ref="AQ12">SUMPRODUCT(ISNUMBER( SEARCH('13 Space Heating Costs'!$C$7:$AW$7,'12 Space Heating Subcomponents'!O46)) *'13 Space Heating Costs'!$C$16:$AW$16)</f>
        <v>7973.1250177577749</v>
      </c>
      <c r="AR12" s="140" cm="1">
        <f t="array" ref="AR12">SUMPRODUCT(ISNUMBER( SEARCH('13 Space Heating Costs'!$C$7:$AW$7,'12 Space Heating Subcomponents'!P46)) *'13 Space Heating Costs'!$C$16:$AW$16)</f>
        <v>7892.9324920195377</v>
      </c>
      <c r="AS12" s="402" cm="1">
        <f t="array" ref="AS12">SUMPRODUCT(ISNUMBER( SEARCH('13 Space Heating Costs'!$C$7:$AW$7,'12 Space Heating Subcomponents'!Q46)) *'13 Space Heating Costs'!$C$16:$AW$16)</f>
        <v>12344.420725313321</v>
      </c>
      <c r="AT12" s="72"/>
    </row>
    <row r="13" spans="1:46" ht="200.1" customHeight="1" x14ac:dyDescent="0.25">
      <c r="A13" s="60"/>
      <c r="B13" s="1105"/>
      <c r="C13" s="182" t="s">
        <v>244</v>
      </c>
      <c r="D13" s="182" t="s">
        <v>245</v>
      </c>
      <c r="E13" s="139"/>
      <c r="F13" s="139"/>
      <c r="G13" s="139"/>
      <c r="H13" s="139"/>
      <c r="I13" s="139"/>
      <c r="J13" s="139"/>
      <c r="K13" s="139"/>
      <c r="L13" s="139"/>
      <c r="M13" s="139"/>
      <c r="N13" s="139"/>
      <c r="O13" s="141"/>
      <c r="P13" s="72"/>
      <c r="Q13" s="1105"/>
      <c r="R13" s="182" t="s">
        <v>244</v>
      </c>
      <c r="S13" s="182" t="s">
        <v>245</v>
      </c>
      <c r="T13" s="139"/>
      <c r="U13" s="139"/>
      <c r="V13" s="139"/>
      <c r="W13" s="139"/>
      <c r="X13" s="139"/>
      <c r="Y13" s="139"/>
      <c r="Z13" s="139"/>
      <c r="AA13" s="139"/>
      <c r="AB13" s="139"/>
      <c r="AC13" s="139"/>
      <c r="AD13" s="141"/>
      <c r="AE13" s="72"/>
      <c r="AF13" s="1105"/>
      <c r="AG13" s="182" t="s">
        <v>244</v>
      </c>
      <c r="AH13" s="182" t="s">
        <v>245</v>
      </c>
      <c r="AI13" s="139"/>
      <c r="AJ13" s="139"/>
      <c r="AK13" s="139"/>
      <c r="AL13" s="139"/>
      <c r="AM13" s="139"/>
      <c r="AN13" s="139"/>
      <c r="AO13" s="139"/>
      <c r="AP13" s="139"/>
      <c r="AQ13" s="139"/>
      <c r="AR13" s="139"/>
      <c r="AS13" s="141"/>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Costs'!$C$16:$AW$16)</f>
        <v>1882.5710149799861</v>
      </c>
      <c r="F14" s="140" cm="1">
        <f t="array" ref="F14">SUMPRODUCT(ISNUMBER( SEARCH('13 Space Heating Costs'!$C$7:$AW$7,'12 Space Heating Subcomponents'!H16)) *'13 Space Heating Costs'!$C$16:$AW$16)</f>
        <v>3003.0236853268943</v>
      </c>
      <c r="G14" s="140" cm="1">
        <f t="array" ref="G14">SUMPRODUCT(ISNUMBER( SEARCH('13 Space Heating Costs'!$C$7:$AW$7,'12 Space Heating Subcomponents'!I16)) *'13 Space Heating Costs'!$C$16:$AW$16)</f>
        <v>5167.5974891404876</v>
      </c>
      <c r="H14" s="140" cm="1">
        <f t="array" ref="H14">SUMPRODUCT(ISNUMBER( SEARCH('13 Space Heating Costs'!$C$7:$AW$7,'12 Space Heating Subcomponents'!J16)) *'13 Space Heating Costs'!$C$16:$AW$16)</f>
        <v>6293.7161654057118</v>
      </c>
      <c r="I14" s="139"/>
      <c r="J14" s="140" cm="1">
        <f t="array" ref="J14">SUMPRODUCT(ISNUMBER( SEARCH('13 Space Heating Costs'!$C$7:$AW$7,'12 Space Heating Subcomponents'!L16)) *'13 Space Heating Costs'!$C$16:$AW$16)</f>
        <v>4997.6173115910196</v>
      </c>
      <c r="K14" s="140" cm="1">
        <f t="array" ref="K14">SUMPRODUCT(ISNUMBER( SEARCH('13 Space Heating Costs'!$C$7:$AW$7,'12 Space Heating Subcomponents'!M16)) *'13 Space Heating Costs'!$C$16:$AW$16)</f>
        <v>2216.8653641606061</v>
      </c>
      <c r="L14" s="140" cm="1">
        <f t="array" ref="L14">SUMPRODUCT(ISNUMBER( SEARCH('13 Space Heating Costs'!$C$7:$AW$7,'12 Space Heating Subcomponents'!N16)) *'13 Space Heating Costs'!$C$16:$AW$16)</f>
        <v>5555.3647691752112</v>
      </c>
      <c r="M14" s="140" cm="1">
        <f t="array" ref="M14">SUMPRODUCT(ISNUMBER( SEARCH('13 Space Heating Costs'!$C$7:$AW$7,'12 Space Heating Subcomponents'!O16)) *'13 Space Heating Costs'!$C$16:$AW$16)</f>
        <v>2216.8653641606061</v>
      </c>
      <c r="N14" s="140" cm="1">
        <f t="array" ref="N14">SUMPRODUCT(ISNUMBER( SEARCH('13 Space Heating Costs'!$C$7:$AW$7,'12 Space Heating Subcomponents'!P16)) *'13 Space Heating Costs'!$C$16:$AW$16)</f>
        <v>2705.5583746153261</v>
      </c>
      <c r="O14" s="402" cm="1">
        <f t="array" ref="O14">SUMPRODUCT(ISNUMBER( SEARCH('13 Space Heating Costs'!$C$7:$AW$7,'12 Space Heating Subcomponents'!Q16)) *'13 Space Heating Costs'!$C$16:$AW$16)</f>
        <v>6715.3951433208331</v>
      </c>
      <c r="P14" s="72"/>
      <c r="Q14" s="1105"/>
      <c r="R14" s="182" t="s">
        <v>246</v>
      </c>
      <c r="S14" s="182" t="s">
        <v>243</v>
      </c>
      <c r="T14" s="140" cm="1">
        <f t="array" ref="T14">SUMPRODUCT(ISNUMBER( SEARCH('13 Space Heating Costs'!$C$7:$AW$7,'12 Space Heating Subcomponents'!G32)) *'13 Space Heating Costs'!$C$16:$AW$16)</f>
        <v>1882.5710149799861</v>
      </c>
      <c r="U14" s="140" cm="1">
        <f t="array" ref="U14">SUMPRODUCT(ISNUMBER( SEARCH('13 Space Heating Costs'!$C$7:$AW$7,'12 Space Heating Subcomponents'!H32)) *'13 Space Heating Costs'!$C$16:$AW$16)</f>
        <v>3003.0236853268943</v>
      </c>
      <c r="V14" s="140" cm="1">
        <f t="array" ref="V14">SUMPRODUCT(ISNUMBER( SEARCH('13 Space Heating Costs'!$C$7:$AW$7,'12 Space Heating Subcomponents'!I32)) *'13 Space Heating Costs'!$C$16:$AW$16)</f>
        <v>5167.5974891404876</v>
      </c>
      <c r="W14" s="140" cm="1">
        <f t="array" ref="W14">SUMPRODUCT(ISNUMBER( SEARCH('13 Space Heating Costs'!$C$7:$AW$7,'12 Space Heating Subcomponents'!J32)) *'13 Space Heating Costs'!$C$16:$AW$16)</f>
        <v>6293.7161654057118</v>
      </c>
      <c r="X14" s="139"/>
      <c r="Y14" s="140" cm="1">
        <f t="array" ref="Y14">SUMPRODUCT(ISNUMBER( SEARCH('13 Space Heating Costs'!$C$7:$AW$7,'12 Space Heating Subcomponents'!L32)) *'13 Space Heating Costs'!$C$16:$AW$16)</f>
        <v>4997.6173115910196</v>
      </c>
      <c r="Z14" s="140" cm="1">
        <f t="array" ref="Z14">SUMPRODUCT(ISNUMBER( SEARCH('13 Space Heating Costs'!$C$7:$AW$7,'12 Space Heating Subcomponents'!M32)) *'13 Space Heating Costs'!$C$16:$AW$16)</f>
        <v>2216.8653641606061</v>
      </c>
      <c r="AA14" s="140" cm="1">
        <f t="array" ref="AA14">SUMPRODUCT(ISNUMBER( SEARCH('13 Space Heating Costs'!$C$7:$AW$7,'12 Space Heating Subcomponents'!N32)) *'13 Space Heating Costs'!$C$16:$AW$16)</f>
        <v>5555.3647691752112</v>
      </c>
      <c r="AB14" s="140" cm="1">
        <f t="array" ref="AB14">SUMPRODUCT(ISNUMBER( SEARCH('13 Space Heating Costs'!$C$7:$AW$7,'12 Space Heating Subcomponents'!O32)) *'13 Space Heating Costs'!$C$16:$AW$16)</f>
        <v>2216.8653641606061</v>
      </c>
      <c r="AC14" s="140" cm="1">
        <f t="array" ref="AC14">SUMPRODUCT(ISNUMBER( SEARCH('13 Space Heating Costs'!$C$7:$AW$7,'12 Space Heating Subcomponents'!P32)) *'13 Space Heating Costs'!$C$16:$AW$16)</f>
        <v>2705.5583746153261</v>
      </c>
      <c r="AD14" s="402" cm="1">
        <f t="array" ref="AD14">SUMPRODUCT(ISNUMBER( SEARCH('13 Space Heating Costs'!$C$7:$AW$7,'12 Space Heating Subcomponents'!Q32)) *'13 Space Heating Costs'!$C$16:$AW$16)</f>
        <v>6715.3951433208331</v>
      </c>
      <c r="AE14" s="72"/>
      <c r="AF14" s="1105"/>
      <c r="AG14" s="182" t="s">
        <v>246</v>
      </c>
      <c r="AH14" s="182" t="s">
        <v>243</v>
      </c>
      <c r="AI14" s="140" cm="1">
        <f t="array" ref="AI14">SUMPRODUCT(ISNUMBER( SEARCH('13 Space Heating Costs'!$C$7:$AW$7,'12 Space Heating Subcomponents'!G48)) *'13 Space Heating Costs'!$C$16:$AW$16)</f>
        <v>1882.5710149799861</v>
      </c>
      <c r="AJ14" s="140" cm="1">
        <f t="array" ref="AJ14">SUMPRODUCT(ISNUMBER( SEARCH('13 Space Heating Costs'!$C$7:$AW$7,'12 Space Heating Subcomponents'!H48)) *'13 Space Heating Costs'!$C$16:$AW$16)</f>
        <v>3003.0236853268943</v>
      </c>
      <c r="AK14" s="140" cm="1">
        <f t="array" ref="AK14">SUMPRODUCT(ISNUMBER( SEARCH('13 Space Heating Costs'!$C$7:$AW$7,'12 Space Heating Subcomponents'!I48)) *'13 Space Heating Costs'!$C$16:$AW$16)</f>
        <v>5167.5974891404876</v>
      </c>
      <c r="AL14" s="140" cm="1">
        <f t="array" ref="AL14">SUMPRODUCT(ISNUMBER( SEARCH('13 Space Heating Costs'!$C$7:$AW$7,'12 Space Heating Subcomponents'!J48)) *'13 Space Heating Costs'!$C$16:$AW$16)</f>
        <v>6293.7161654057118</v>
      </c>
      <c r="AM14" s="139"/>
      <c r="AN14" s="140" cm="1">
        <f t="array" ref="AN14">SUMPRODUCT(ISNUMBER( SEARCH('13 Space Heating Costs'!$C$7:$AW$7,'12 Space Heating Subcomponents'!L48)) *'13 Space Heating Costs'!$C$16:$AW$16)</f>
        <v>4997.6173115910196</v>
      </c>
      <c r="AO14" s="140" cm="1">
        <f t="array" ref="AO14">SUMPRODUCT(ISNUMBER( SEARCH('13 Space Heating Costs'!$C$7:$AW$7,'12 Space Heating Subcomponents'!M48)) *'13 Space Heating Costs'!$C$16:$AW$16)</f>
        <v>2216.8653641606061</v>
      </c>
      <c r="AP14" s="140" cm="1">
        <f t="array" ref="AP14">SUMPRODUCT(ISNUMBER( SEARCH('13 Space Heating Costs'!$C$7:$AW$7,'12 Space Heating Subcomponents'!N48)) *'13 Space Heating Costs'!$C$16:$AW$16)</f>
        <v>5555.3647691752112</v>
      </c>
      <c r="AQ14" s="140" cm="1">
        <f t="array" ref="AQ14">SUMPRODUCT(ISNUMBER( SEARCH('13 Space Heating Costs'!$C$7:$AW$7,'12 Space Heating Subcomponents'!O48)) *'13 Space Heating Costs'!$C$16:$AW$16)</f>
        <v>2216.8653641606061</v>
      </c>
      <c r="AR14" s="140" cm="1">
        <f t="array" ref="AR14">SUMPRODUCT(ISNUMBER( SEARCH('13 Space Heating Costs'!$C$7:$AW$7,'12 Space Heating Subcomponents'!P48)) *'13 Space Heating Costs'!$C$16:$AW$16)</f>
        <v>2705.5583746153261</v>
      </c>
      <c r="AS14" s="402" cm="1">
        <f t="array" ref="AS14">SUMPRODUCT(ISNUMBER( SEARCH('13 Space Heating Costs'!$C$7:$AW$7,'12 Space Heating Subcomponents'!Q48)) *'13 Space Heating Costs'!$C$16:$AW$16)</f>
        <v>6715.3951433208331</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Costs'!$C$16:$AW$16)</f>
        <v>2189.2447849347705</v>
      </c>
      <c r="F15" s="140" cm="1">
        <f t="array" ref="F15">SUMPRODUCT(ISNUMBER( SEARCH('13 Space Heating Costs'!$C$7:$AW$7,'12 Space Heating Subcomponents'!H17)) *'13 Space Heating Costs'!$C$16:$AW$16)</f>
        <v>3309.6974552816791</v>
      </c>
      <c r="G15" s="140" cm="1">
        <f t="array" ref="G15">SUMPRODUCT(ISNUMBER( SEARCH('13 Space Heating Costs'!$C$7:$AW$7,'12 Space Heating Subcomponents'!I17)) *'13 Space Heating Costs'!$C$16:$AW$16)</f>
        <v>1351.9050090616706</v>
      </c>
      <c r="H15" s="140" cm="1">
        <f t="array" ref="H15">SUMPRODUCT(ISNUMBER( SEARCH('13 Space Heating Costs'!$C$7:$AW$7,'12 Space Heating Subcomponents'!J17)) *'13 Space Heating Costs'!$C$16:$AW$16)</f>
        <v>2478.0236853268943</v>
      </c>
      <c r="I15" s="140" cm="1">
        <f t="array" ref="I15">SUMPRODUCT(ISNUMBER( SEARCH('13 Space Heating Costs'!$C$7:$AW$7,'12 Space Heating Subcomponents'!K17)) *'13 Space Heating Costs'!$C$16:$AW$16)</f>
        <v>2056.0936458543538</v>
      </c>
      <c r="J15" s="139"/>
      <c r="K15" s="140" cm="1">
        <f t="array" ref="K15">SUMPRODUCT(ISNUMBER( SEARCH('13 Space Heating Costs'!$C$7:$AW$7,'12 Space Heating Subcomponents'!M17)) *'13 Space Heating Costs'!$C$16:$AW$16)</f>
        <v>2523.5391341153904</v>
      </c>
      <c r="L15" s="140" cm="1">
        <f t="array" ref="L15">SUMPRODUCT(ISNUMBER( SEARCH('13 Space Heating Costs'!$C$7:$AW$7,'12 Space Heating Subcomponents'!N17)) *'13 Space Heating Costs'!$C$16:$AW$16)</f>
        <v>1739.6722890963938</v>
      </c>
      <c r="M15" s="140" cm="1">
        <f t="array" ref="M15">SUMPRODUCT(ISNUMBER( SEARCH('13 Space Heating Costs'!$C$7:$AW$7,'12 Space Heating Subcomponents'!O17)) *'13 Space Heating Costs'!$C$16:$AW$16)</f>
        <v>2523.5391341153904</v>
      </c>
      <c r="N15" s="140" cm="1">
        <f t="array" ref="N15">SUMPRODUCT(ISNUMBER( SEARCH('13 Space Heating Costs'!$C$7:$AW$7,'12 Space Heating Subcomponents'!P17)) *'13 Space Heating Costs'!$C$16:$AW$16)</f>
        <v>3012.23214457011</v>
      </c>
      <c r="O15" s="402" cm="1">
        <f t="array" ref="O15">SUMPRODUCT(ISNUMBER( SEARCH('13 Space Heating Costs'!$C$7:$AW$7,'12 Space Heating Subcomponents'!Q17)) *'13 Space Heating Costs'!$C$16:$AW$16)</f>
        <v>3604.1423615921185</v>
      </c>
      <c r="P15" s="72"/>
      <c r="Q15" s="1105"/>
      <c r="R15" s="182" t="s">
        <v>246</v>
      </c>
      <c r="S15" s="182" t="s">
        <v>247</v>
      </c>
      <c r="T15" s="140" cm="1">
        <f t="array" ref="T15">SUMPRODUCT(ISNUMBER( SEARCH('13 Space Heating Costs'!$C$7:$AW$7,'12 Space Heating Subcomponents'!G33)) *'13 Space Heating Costs'!$C$16:$AW$16)</f>
        <v>2189.2447849347705</v>
      </c>
      <c r="U15" s="140" cm="1">
        <f t="array" ref="U15">SUMPRODUCT(ISNUMBER( SEARCH('13 Space Heating Costs'!$C$7:$AW$7,'12 Space Heating Subcomponents'!H33)) *'13 Space Heating Costs'!$C$16:$AW$16)</f>
        <v>3309.6974552816791</v>
      </c>
      <c r="V15" s="140" cm="1">
        <f t="array" ref="V15">SUMPRODUCT(ISNUMBER( SEARCH('13 Space Heating Costs'!$C$7:$AW$7,'12 Space Heating Subcomponents'!I33)) *'13 Space Heating Costs'!$C$16:$AW$16)</f>
        <v>1351.9050090616706</v>
      </c>
      <c r="W15" s="140" cm="1">
        <f t="array" ref="W15">SUMPRODUCT(ISNUMBER( SEARCH('13 Space Heating Costs'!$C$7:$AW$7,'12 Space Heating Subcomponents'!J33)) *'13 Space Heating Costs'!$C$16:$AW$16)</f>
        <v>2478.0236853268943</v>
      </c>
      <c r="X15" s="140" cm="1">
        <f t="array" ref="X15">SUMPRODUCT(ISNUMBER( SEARCH('13 Space Heating Costs'!$C$7:$AW$7,'12 Space Heating Subcomponents'!K33)) *'13 Space Heating Costs'!$C$16:$AW$16)</f>
        <v>2056.0936458543538</v>
      </c>
      <c r="Y15" s="139"/>
      <c r="Z15" s="140" cm="1">
        <f t="array" ref="Z15">SUMPRODUCT(ISNUMBER( SEARCH('13 Space Heating Costs'!$C$7:$AW$7,'12 Space Heating Subcomponents'!M33)) *'13 Space Heating Costs'!$C$16:$AW$16)</f>
        <v>2523.5391341153904</v>
      </c>
      <c r="AA15" s="140" cm="1">
        <f t="array" ref="AA15">SUMPRODUCT(ISNUMBER( SEARCH('13 Space Heating Costs'!$C$7:$AW$7,'12 Space Heating Subcomponents'!N33)) *'13 Space Heating Costs'!$C$16:$AW$16)</f>
        <v>1739.6722890963938</v>
      </c>
      <c r="AB15" s="140" cm="1">
        <f t="array" ref="AB15">SUMPRODUCT(ISNUMBER( SEARCH('13 Space Heating Costs'!$C$7:$AW$7,'12 Space Heating Subcomponents'!O33)) *'13 Space Heating Costs'!$C$16:$AW$16)</f>
        <v>2523.5391341153904</v>
      </c>
      <c r="AC15" s="140" cm="1">
        <f t="array" ref="AC15">SUMPRODUCT(ISNUMBER( SEARCH('13 Space Heating Costs'!$C$7:$AW$7,'12 Space Heating Subcomponents'!P33)) *'13 Space Heating Costs'!$C$16:$AW$16)</f>
        <v>3012.23214457011</v>
      </c>
      <c r="AD15" s="402" cm="1">
        <f t="array" ref="AD15">SUMPRODUCT(ISNUMBER( SEARCH('13 Space Heating Costs'!$C$7:$AW$7,'12 Space Heating Subcomponents'!Q33)) *'13 Space Heating Costs'!$C$16:$AW$16)</f>
        <v>3604.1423615921185</v>
      </c>
      <c r="AE15" s="72"/>
      <c r="AF15" s="1105"/>
      <c r="AG15" s="182" t="s">
        <v>246</v>
      </c>
      <c r="AH15" s="182" t="s">
        <v>247</v>
      </c>
      <c r="AI15" s="140" cm="1">
        <f t="array" ref="AI15">SUMPRODUCT(ISNUMBER( SEARCH('13 Space Heating Costs'!$C$7:$AW$7,'12 Space Heating Subcomponents'!G49)) *'13 Space Heating Costs'!$C$16:$AW$16)</f>
        <v>2189.2447849347705</v>
      </c>
      <c r="AJ15" s="140" cm="1">
        <f t="array" ref="AJ15">SUMPRODUCT(ISNUMBER( SEARCH('13 Space Heating Costs'!$C$7:$AW$7,'12 Space Heating Subcomponents'!H49)) *'13 Space Heating Costs'!$C$16:$AW$16)</f>
        <v>3309.6974552816791</v>
      </c>
      <c r="AK15" s="140" cm="1">
        <f t="array" ref="AK15">SUMPRODUCT(ISNUMBER( SEARCH('13 Space Heating Costs'!$C$7:$AW$7,'12 Space Heating Subcomponents'!I49)) *'13 Space Heating Costs'!$C$16:$AW$16)</f>
        <v>1351.9050090616706</v>
      </c>
      <c r="AL15" s="140" cm="1">
        <f t="array" ref="AL15">SUMPRODUCT(ISNUMBER( SEARCH('13 Space Heating Costs'!$C$7:$AW$7,'12 Space Heating Subcomponents'!J49)) *'13 Space Heating Costs'!$C$16:$AW$16)</f>
        <v>2478.0236853268943</v>
      </c>
      <c r="AM15" s="140" cm="1">
        <f t="array" ref="AM15">SUMPRODUCT(ISNUMBER( SEARCH('13 Space Heating Costs'!$C$7:$AW$7,'12 Space Heating Subcomponents'!K49)) *'13 Space Heating Costs'!$C$16:$AW$16)</f>
        <v>2056.0936458543538</v>
      </c>
      <c r="AN15" s="139"/>
      <c r="AO15" s="140" cm="1">
        <f t="array" ref="AO15">SUMPRODUCT(ISNUMBER( SEARCH('13 Space Heating Costs'!$C$7:$AW$7,'12 Space Heating Subcomponents'!M49)) *'13 Space Heating Costs'!$C$16:$AW$16)</f>
        <v>2523.5391341153904</v>
      </c>
      <c r="AP15" s="140" cm="1">
        <f t="array" ref="AP15">SUMPRODUCT(ISNUMBER( SEARCH('13 Space Heating Costs'!$C$7:$AW$7,'12 Space Heating Subcomponents'!N49)) *'13 Space Heating Costs'!$C$16:$AW$16)</f>
        <v>1739.6722890963938</v>
      </c>
      <c r="AQ15" s="140" cm="1">
        <f t="array" ref="AQ15">SUMPRODUCT(ISNUMBER( SEARCH('13 Space Heating Costs'!$C$7:$AW$7,'12 Space Heating Subcomponents'!O49)) *'13 Space Heating Costs'!$C$16:$AW$16)</f>
        <v>2523.5391341153904</v>
      </c>
      <c r="AR15" s="140" cm="1">
        <f t="array" ref="AR15">SUMPRODUCT(ISNUMBER( SEARCH('13 Space Heating Costs'!$C$7:$AW$7,'12 Space Heating Subcomponents'!P49)) *'13 Space Heating Costs'!$C$16:$AW$16)</f>
        <v>3012.23214457011</v>
      </c>
      <c r="AS15" s="402" cm="1">
        <f t="array" ref="AS15">SUMPRODUCT(ISNUMBER( SEARCH('13 Space Heating Costs'!$C$7:$AW$7,'12 Space Heating Subcomponents'!Q49)) *'13 Space Heating Costs'!$C$16:$AW$16)</f>
        <v>3604.1423615921185</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Costs'!$C$16:$AW$16)</f>
        <v>1182.5710149799861</v>
      </c>
      <c r="F16" s="140" cm="1">
        <f t="array" ref="F16">SUMPRODUCT(ISNUMBER( SEARCH('13 Space Heating Costs'!$C$7:$AW$7,'12 Space Heating Subcomponents'!H18)) *'13 Space Heating Costs'!$C$16:$AW$16)</f>
        <v>2303.0236853268943</v>
      </c>
      <c r="G16" s="140" cm="1">
        <f t="array" ref="G16">SUMPRODUCT(ISNUMBER( SEARCH('13 Space Heating Costs'!$C$7:$AW$7,'12 Space Heating Subcomponents'!I18)) *'13 Space Heating Costs'!$C$16:$AW$16)</f>
        <v>4467.5974891404876</v>
      </c>
      <c r="H16" s="140" cm="1">
        <f t="array" ref="H16">SUMPRODUCT(ISNUMBER( SEARCH('13 Space Heating Costs'!$C$7:$AW$7,'12 Space Heating Subcomponents'!J18)) *'13 Space Heating Costs'!$C$16:$AW$16)</f>
        <v>5593.7161654057118</v>
      </c>
      <c r="I16" s="140" cm="1">
        <f t="array" ref="I16">SUMPRODUCT(ISNUMBER( SEARCH('13 Space Heating Costs'!$C$7:$AW$7,'12 Space Heating Subcomponents'!K18)) *'13 Space Heating Costs'!$C$16:$AW$16)</f>
        <v>1049.4198758995697</v>
      </c>
      <c r="J16" s="140" cm="1">
        <f t="array" ref="J16">SUMPRODUCT(ISNUMBER( SEARCH('13 Space Heating Costs'!$C$7:$AW$7,'12 Space Heating Subcomponents'!L18)) *'13 Space Heating Costs'!$C$16:$AW$16)</f>
        <v>4297.6173115910196</v>
      </c>
      <c r="K16" s="139"/>
      <c r="L16" s="140" cm="1">
        <f t="array" ref="L16">SUMPRODUCT(ISNUMBER( SEARCH('13 Space Heating Costs'!$C$7:$AW$7,'12 Space Heating Subcomponents'!N18)) *'13 Space Heating Costs'!$C$16:$AW$16)</f>
        <v>4150.9250708251093</v>
      </c>
      <c r="M16" s="140" cm="1">
        <f t="array" ref="M16">SUMPRODUCT(ISNUMBER( SEARCH('13 Space Heating Costs'!$C$7:$AW$7,'12 Space Heating Subcomponents'!O18)) *'13 Space Heating Costs'!$C$16:$AW$16)</f>
        <v>812.42566581050414</v>
      </c>
      <c r="N16" s="140" cm="1">
        <f t="array" ref="N16">SUMPRODUCT(ISNUMBER( SEARCH('13 Space Heating Costs'!$C$7:$AW$7,'12 Space Heating Subcomponents'!P18)) *'13 Space Heating Costs'!$C$16:$AW$16)</f>
        <v>2005.5583746153259</v>
      </c>
      <c r="O16" s="402" cm="1">
        <f t="array" ref="O16">SUMPRODUCT(ISNUMBER( SEARCH('13 Space Heating Costs'!$C$7:$AW$7,'12 Space Heating Subcomponents'!Q18)) *'13 Space Heating Costs'!$C$16:$AW$16)</f>
        <v>6015.3951433208331</v>
      </c>
      <c r="P16" s="72"/>
      <c r="Q16" s="1105"/>
      <c r="R16" s="182" t="s">
        <v>246</v>
      </c>
      <c r="S16" s="182" t="s">
        <v>248</v>
      </c>
      <c r="T16" s="140" cm="1">
        <f t="array" ref="T16">SUMPRODUCT(ISNUMBER( SEARCH('13 Space Heating Costs'!$C$7:$AW$7,'12 Space Heating Subcomponents'!G34)) *'13 Space Heating Costs'!$C$16:$AW$16)</f>
        <v>1182.5710149799861</v>
      </c>
      <c r="U16" s="140" cm="1">
        <f t="array" ref="U16">SUMPRODUCT(ISNUMBER( SEARCH('13 Space Heating Costs'!$C$7:$AW$7,'12 Space Heating Subcomponents'!H34)) *'13 Space Heating Costs'!$C$16:$AW$16)</f>
        <v>2303.0236853268943</v>
      </c>
      <c r="V16" s="140" cm="1">
        <f t="array" ref="V16">SUMPRODUCT(ISNUMBER( SEARCH('13 Space Heating Costs'!$C$7:$AW$7,'12 Space Heating Subcomponents'!I34)) *'13 Space Heating Costs'!$C$16:$AW$16)</f>
        <v>4467.5974891404876</v>
      </c>
      <c r="W16" s="140" cm="1">
        <f t="array" ref="W16">SUMPRODUCT(ISNUMBER( SEARCH('13 Space Heating Costs'!$C$7:$AW$7,'12 Space Heating Subcomponents'!J34)) *'13 Space Heating Costs'!$C$16:$AW$16)</f>
        <v>5593.7161654057118</v>
      </c>
      <c r="X16" s="140" cm="1">
        <f t="array" ref="X16">SUMPRODUCT(ISNUMBER( SEARCH('13 Space Heating Costs'!$C$7:$AW$7,'12 Space Heating Subcomponents'!K34)) *'13 Space Heating Costs'!$C$16:$AW$16)</f>
        <v>1049.4198758995697</v>
      </c>
      <c r="Y16" s="140" cm="1">
        <f t="array" ref="Y16">SUMPRODUCT(ISNUMBER( SEARCH('13 Space Heating Costs'!$C$7:$AW$7,'12 Space Heating Subcomponents'!L34)) *'13 Space Heating Costs'!$C$16:$AW$16)</f>
        <v>4297.6173115910196</v>
      </c>
      <c r="Z16" s="139"/>
      <c r="AA16" s="140" cm="1">
        <f t="array" ref="AA16">SUMPRODUCT(ISNUMBER( SEARCH('13 Space Heating Costs'!$C$7:$AW$7,'12 Space Heating Subcomponents'!N34)) *'13 Space Heating Costs'!$C$16:$AW$16)</f>
        <v>4150.9250708251093</v>
      </c>
      <c r="AB16" s="140" cm="1">
        <f t="array" ref="AB16">SUMPRODUCT(ISNUMBER( SEARCH('13 Space Heating Costs'!$C$7:$AW$7,'12 Space Heating Subcomponents'!O34)) *'13 Space Heating Costs'!$C$16:$AW$16)</f>
        <v>812.42566581050414</v>
      </c>
      <c r="AC16" s="140" cm="1">
        <f t="array" ref="AC16">SUMPRODUCT(ISNUMBER( SEARCH('13 Space Heating Costs'!$C$7:$AW$7,'12 Space Heating Subcomponents'!P34)) *'13 Space Heating Costs'!$C$16:$AW$16)</f>
        <v>2005.5583746153259</v>
      </c>
      <c r="AD16" s="402" cm="1">
        <f t="array" ref="AD16">SUMPRODUCT(ISNUMBER( SEARCH('13 Space Heating Costs'!$C$7:$AW$7,'12 Space Heating Subcomponents'!Q34)) *'13 Space Heating Costs'!$C$16:$AW$16)</f>
        <v>6015.3951433208331</v>
      </c>
      <c r="AE16" s="72"/>
      <c r="AF16" s="1105"/>
      <c r="AG16" s="182" t="s">
        <v>246</v>
      </c>
      <c r="AH16" s="182" t="s">
        <v>248</v>
      </c>
      <c r="AI16" s="140" cm="1">
        <f t="array" ref="AI16">SUMPRODUCT(ISNUMBER( SEARCH('13 Space Heating Costs'!$C$7:$AW$7,'12 Space Heating Subcomponents'!G50)) *'13 Space Heating Costs'!$C$16:$AW$16)</f>
        <v>1182.5710149799861</v>
      </c>
      <c r="AJ16" s="140" cm="1">
        <f t="array" ref="AJ16">SUMPRODUCT(ISNUMBER( SEARCH('13 Space Heating Costs'!$C$7:$AW$7,'12 Space Heating Subcomponents'!H50)) *'13 Space Heating Costs'!$C$16:$AW$16)</f>
        <v>2303.0236853268943</v>
      </c>
      <c r="AK16" s="140" cm="1">
        <f t="array" ref="AK16">SUMPRODUCT(ISNUMBER( SEARCH('13 Space Heating Costs'!$C$7:$AW$7,'12 Space Heating Subcomponents'!I50)) *'13 Space Heating Costs'!$C$16:$AW$16)</f>
        <v>4467.5974891404876</v>
      </c>
      <c r="AL16" s="140" cm="1">
        <f t="array" ref="AL16">SUMPRODUCT(ISNUMBER( SEARCH('13 Space Heating Costs'!$C$7:$AW$7,'12 Space Heating Subcomponents'!J50)) *'13 Space Heating Costs'!$C$16:$AW$16)</f>
        <v>5593.7161654057118</v>
      </c>
      <c r="AM16" s="140" cm="1">
        <f t="array" ref="AM16">SUMPRODUCT(ISNUMBER( SEARCH('13 Space Heating Costs'!$C$7:$AW$7,'12 Space Heating Subcomponents'!K50)) *'13 Space Heating Costs'!$C$16:$AW$16)</f>
        <v>1049.4198758995697</v>
      </c>
      <c r="AN16" s="140" cm="1">
        <f t="array" ref="AN16">SUMPRODUCT(ISNUMBER( SEARCH('13 Space Heating Costs'!$C$7:$AW$7,'12 Space Heating Subcomponents'!L50)) *'13 Space Heating Costs'!$C$16:$AW$16)</f>
        <v>4297.6173115910196</v>
      </c>
      <c r="AO16" s="139"/>
      <c r="AP16" s="140" cm="1">
        <f t="array" ref="AP16">SUMPRODUCT(ISNUMBER( SEARCH('13 Space Heating Costs'!$C$7:$AW$7,'12 Space Heating Subcomponents'!N50)) *'13 Space Heating Costs'!$C$16:$AW$16)</f>
        <v>4150.9250708251093</v>
      </c>
      <c r="AQ16" s="140" cm="1">
        <f t="array" ref="AQ16">SUMPRODUCT(ISNUMBER( SEARCH('13 Space Heating Costs'!$C$7:$AW$7,'12 Space Heating Subcomponents'!O50)) *'13 Space Heating Costs'!$C$16:$AW$16)</f>
        <v>812.42566581050414</v>
      </c>
      <c r="AR16" s="140" cm="1">
        <f t="array" ref="AR16">SUMPRODUCT(ISNUMBER( SEARCH('13 Space Heating Costs'!$C$7:$AW$7,'12 Space Heating Subcomponents'!P50)) *'13 Space Heating Costs'!$C$16:$AW$16)</f>
        <v>2005.5583746153259</v>
      </c>
      <c r="AS16" s="402" cm="1">
        <f t="array" ref="AS16">SUMPRODUCT(ISNUMBER( SEARCH('13 Space Heating Costs'!$C$7:$AW$7,'12 Space Heating Subcomponents'!Q50)) *'13 Space Heating Costs'!$C$16:$AW$16)</f>
        <v>6015.3951433208331</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Costs'!$C$16:$AW$16)</f>
        <v>3778.7916674131598</v>
      </c>
      <c r="F17" s="140" cm="1">
        <f t="array" ref="F17">SUMPRODUCT(ISNUMBER( SEARCH('13 Space Heating Costs'!$C$7:$AW$7,'12 Space Heating Subcomponents'!H19)) *'13 Space Heating Costs'!$C$16:$AW$16)</f>
        <v>4899.2443377600684</v>
      </c>
      <c r="G17" s="140" cm="1">
        <f t="array" ref="G17">SUMPRODUCT(ISNUMBER( SEARCH('13 Space Heating Costs'!$C$7:$AW$7,'12 Space Heating Subcomponents'!I19)) *'13 Space Heating Costs'!$C$16:$AW$16)</f>
        <v>2941.4518915400599</v>
      </c>
      <c r="H17" s="140" cm="1">
        <f t="array" ref="H17">SUMPRODUCT(ISNUMBER( SEARCH('13 Space Heating Costs'!$C$7:$AW$7,'12 Space Heating Subcomponents'!J19)) *'13 Space Heating Costs'!$C$16:$AW$16)</f>
        <v>4067.5705678052836</v>
      </c>
      <c r="I17" s="140" cm="1">
        <f t="array" ref="I17">SUMPRODUCT(ISNUMBER( SEARCH('13 Space Heating Costs'!$C$7:$AW$7,'12 Space Heating Subcomponents'!K19)) *'13 Space Heating Costs'!$C$16:$AW$16)</f>
        <v>3645.6405283327435</v>
      </c>
      <c r="J17" s="140" cm="1">
        <f t="array" ref="J17">SUMPRODUCT(ISNUMBER( SEARCH('13 Space Heating Costs'!$C$7:$AW$7,'12 Space Heating Subcomponents'!L19)) *'13 Space Heating Costs'!$C$16:$AW$16)</f>
        <v>3603.1454839453763</v>
      </c>
      <c r="K17" s="140" cm="1">
        <f t="array" ref="K17">SUMPRODUCT(ISNUMBER( SEARCH('13 Space Heating Costs'!$C$7:$AW$7,'12 Space Heating Subcomponents'!M19)) *'13 Space Heating Costs'!$C$16:$AW$16)</f>
        <v>3408.6463182436778</v>
      </c>
      <c r="L17" s="139"/>
      <c r="M17" s="140" cm="1">
        <f t="array" ref="M17">SUMPRODUCT(ISNUMBER( SEARCH('13 Space Heating Costs'!$C$7:$AW$7,'12 Space Heating Subcomponents'!O19)) *'13 Space Heating Costs'!$C$16:$AW$16)</f>
        <v>3408.6463182436778</v>
      </c>
      <c r="N17" s="140" cm="1">
        <f t="array" ref="N17">SUMPRODUCT(ISNUMBER( SEARCH('13 Space Heating Costs'!$C$7:$AW$7,'12 Space Heating Subcomponents'!P19)) *'13 Space Heating Costs'!$C$16:$AW$16)</f>
        <v>4601.7790270484993</v>
      </c>
      <c r="O17" s="402" cm="1">
        <f t="array" ref="O17">SUMPRODUCT(ISNUMBER( SEARCH('13 Space Heating Costs'!$C$7:$AW$7,'12 Space Heating Subcomponents'!Q19)) *'13 Space Heating Costs'!$C$16:$AW$16)</f>
        <v>5193.6892440705078</v>
      </c>
      <c r="P17" s="72"/>
      <c r="Q17" s="1105"/>
      <c r="R17" s="182" t="s">
        <v>246</v>
      </c>
      <c r="S17" s="182" t="s">
        <v>249</v>
      </c>
      <c r="T17" s="140" cm="1">
        <f t="array" ref="T17">SUMPRODUCT(ISNUMBER( SEARCH('13 Space Heating Costs'!$C$7:$AW$7,'12 Space Heating Subcomponents'!G35)) *'13 Space Heating Costs'!$C$16:$AW$16)</f>
        <v>3778.7916674131598</v>
      </c>
      <c r="U17" s="140" cm="1">
        <f t="array" ref="U17">SUMPRODUCT(ISNUMBER( SEARCH('13 Space Heating Costs'!$C$7:$AW$7,'12 Space Heating Subcomponents'!H35)) *'13 Space Heating Costs'!$C$16:$AW$16)</f>
        <v>4899.2443377600684</v>
      </c>
      <c r="V17" s="140" cm="1">
        <f t="array" ref="V17">SUMPRODUCT(ISNUMBER( SEARCH('13 Space Heating Costs'!$C$7:$AW$7,'12 Space Heating Subcomponents'!I35)) *'13 Space Heating Costs'!$C$16:$AW$16)</f>
        <v>2941.4518915400599</v>
      </c>
      <c r="W17" s="140" cm="1">
        <f t="array" ref="W17">SUMPRODUCT(ISNUMBER( SEARCH('13 Space Heating Costs'!$C$7:$AW$7,'12 Space Heating Subcomponents'!J35)) *'13 Space Heating Costs'!$C$16:$AW$16)</f>
        <v>4067.5705678052836</v>
      </c>
      <c r="X17" s="140" cm="1">
        <f t="array" ref="X17">SUMPRODUCT(ISNUMBER( SEARCH('13 Space Heating Costs'!$C$7:$AW$7,'12 Space Heating Subcomponents'!K35)) *'13 Space Heating Costs'!$C$16:$AW$16)</f>
        <v>3645.6405283327435</v>
      </c>
      <c r="Y17" s="140" cm="1">
        <f t="array" ref="Y17">SUMPRODUCT(ISNUMBER( SEARCH('13 Space Heating Costs'!$C$7:$AW$7,'12 Space Heating Subcomponents'!L35)) *'13 Space Heating Costs'!$C$16:$AW$16)</f>
        <v>3603.1454839453763</v>
      </c>
      <c r="Z17" s="140" cm="1">
        <f t="array" ref="Z17">SUMPRODUCT(ISNUMBER( SEARCH('13 Space Heating Costs'!$C$7:$AW$7,'12 Space Heating Subcomponents'!M35)) *'13 Space Heating Costs'!$C$16:$AW$16)</f>
        <v>3408.6463182436778</v>
      </c>
      <c r="AA17" s="139"/>
      <c r="AB17" s="140" cm="1">
        <f t="array" ref="AB17">SUMPRODUCT(ISNUMBER( SEARCH('13 Space Heating Costs'!$C$7:$AW$7,'12 Space Heating Subcomponents'!O35)) *'13 Space Heating Costs'!$C$16:$AW$16)</f>
        <v>3408.6463182436778</v>
      </c>
      <c r="AC17" s="140" cm="1">
        <f t="array" ref="AC17">SUMPRODUCT(ISNUMBER( SEARCH('13 Space Heating Costs'!$C$7:$AW$7,'12 Space Heating Subcomponents'!P35)) *'13 Space Heating Costs'!$C$16:$AW$16)</f>
        <v>4601.7790270484993</v>
      </c>
      <c r="AD17" s="402" cm="1">
        <f t="array" ref="AD17">SUMPRODUCT(ISNUMBER( SEARCH('13 Space Heating Costs'!$C$7:$AW$7,'12 Space Heating Subcomponents'!Q35)) *'13 Space Heating Costs'!$C$16:$AW$16)</f>
        <v>5193.6892440705078</v>
      </c>
      <c r="AE17" s="72"/>
      <c r="AF17" s="1105"/>
      <c r="AG17" s="182" t="s">
        <v>246</v>
      </c>
      <c r="AH17" s="182" t="s">
        <v>249</v>
      </c>
      <c r="AI17" s="140" cm="1">
        <f t="array" ref="AI17">SUMPRODUCT(ISNUMBER( SEARCH('13 Space Heating Costs'!$C$7:$AW$7,'12 Space Heating Subcomponents'!G51)) *'13 Space Heating Costs'!$C$16:$AW$16)</f>
        <v>3778.7916674131598</v>
      </c>
      <c r="AJ17" s="140" cm="1">
        <f t="array" ref="AJ17">SUMPRODUCT(ISNUMBER( SEARCH('13 Space Heating Costs'!$C$7:$AW$7,'12 Space Heating Subcomponents'!H51)) *'13 Space Heating Costs'!$C$16:$AW$16)</f>
        <v>4899.2443377600684</v>
      </c>
      <c r="AK17" s="140" cm="1">
        <f t="array" ref="AK17">SUMPRODUCT(ISNUMBER( SEARCH('13 Space Heating Costs'!$C$7:$AW$7,'12 Space Heating Subcomponents'!I51)) *'13 Space Heating Costs'!$C$16:$AW$16)</f>
        <v>2941.4518915400599</v>
      </c>
      <c r="AL17" s="140" cm="1">
        <f t="array" ref="AL17">SUMPRODUCT(ISNUMBER( SEARCH('13 Space Heating Costs'!$C$7:$AW$7,'12 Space Heating Subcomponents'!J51)) *'13 Space Heating Costs'!$C$16:$AW$16)</f>
        <v>4067.5705678052836</v>
      </c>
      <c r="AM17" s="140" cm="1">
        <f t="array" ref="AM17">SUMPRODUCT(ISNUMBER( SEARCH('13 Space Heating Costs'!$C$7:$AW$7,'12 Space Heating Subcomponents'!K51)) *'13 Space Heating Costs'!$C$16:$AW$16)</f>
        <v>3645.6405283327435</v>
      </c>
      <c r="AN17" s="140" cm="1">
        <f t="array" ref="AN17">SUMPRODUCT(ISNUMBER( SEARCH('13 Space Heating Costs'!$C$7:$AW$7,'12 Space Heating Subcomponents'!L51)) *'13 Space Heating Costs'!$C$16:$AW$16)</f>
        <v>3603.1454839453763</v>
      </c>
      <c r="AO17" s="140" cm="1">
        <f t="array" ref="AO17">SUMPRODUCT(ISNUMBER( SEARCH('13 Space Heating Costs'!$C$7:$AW$7,'12 Space Heating Subcomponents'!M51)) *'13 Space Heating Costs'!$C$16:$AW$16)</f>
        <v>3408.6463182436778</v>
      </c>
      <c r="AP17" s="139"/>
      <c r="AQ17" s="140" cm="1">
        <f t="array" ref="AQ17">SUMPRODUCT(ISNUMBER( SEARCH('13 Space Heating Costs'!$C$7:$AW$7,'12 Space Heating Subcomponents'!O51)) *'13 Space Heating Costs'!$C$16:$AW$16)</f>
        <v>3408.6463182436778</v>
      </c>
      <c r="AR17" s="140" cm="1">
        <f t="array" ref="AR17">SUMPRODUCT(ISNUMBER( SEARCH('13 Space Heating Costs'!$C$7:$AW$7,'12 Space Heating Subcomponents'!P51)) *'13 Space Heating Costs'!$C$16:$AW$16)</f>
        <v>4601.7790270484993</v>
      </c>
      <c r="AS17" s="402" cm="1">
        <f t="array" ref="AS17">SUMPRODUCT(ISNUMBER( SEARCH('13 Space Heating Costs'!$C$7:$AW$7,'12 Space Heating Subcomponents'!Q51)) *'13 Space Heating Costs'!$C$16:$AW$16)</f>
        <v>5193.6892440705078</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Costs'!$C$16:$AW$16)</f>
        <v>15631.7026150578</v>
      </c>
      <c r="F18" s="140" cm="1">
        <f t="array" ref="F18">SUMPRODUCT(ISNUMBER( SEARCH('13 Space Heating Costs'!$C$7:$AW$7,'12 Space Heating Subcomponents'!H20)) *'13 Space Heating Costs'!$C$16:$AW$16)</f>
        <v>20042.847765483522</v>
      </c>
      <c r="G18" s="140" cm="1">
        <f t="array" ref="G18">SUMPRODUCT(ISNUMBER( SEARCH('13 Space Heating Costs'!$C$7:$AW$7,'12 Space Heating Subcomponents'!I20)) *'13 Space Heating Costs'!$C$16:$AW$16)</f>
        <v>15626.036609139484</v>
      </c>
      <c r="H18" s="140" cm="1">
        <f t="array" ref="H18">SUMPRODUCT(ISNUMBER( SEARCH('13 Space Heating Costs'!$C$7:$AW$7,'12 Space Heating Subcomponents'!J20)) *'13 Space Heating Costs'!$C$16:$AW$16)</f>
        <v>20042.847765483522</v>
      </c>
      <c r="I18" s="140" cm="1">
        <f t="array" ref="I18">SUMPRODUCT(ISNUMBER( SEARCH('13 Space Heating Costs'!$C$7:$AW$7,'12 Space Heating Subcomponents'!K20)) *'13 Space Heating Costs'!$C$16:$AW$16)</f>
        <v>15498.551475977383</v>
      </c>
      <c r="J18" s="140" cm="1">
        <f t="array" ref="J18">SUMPRODUCT(ISNUMBER( SEARCH('13 Space Heating Costs'!$C$7:$AW$7,'12 Space Heating Subcomponents'!L20)) *'13 Space Heating Costs'!$C$16:$AW$16)</f>
        <v>19315.63444786179</v>
      </c>
      <c r="K18" s="140" cm="1">
        <f t="array" ref="K18">SUMPRODUCT(ISNUMBER( SEARCH('13 Space Heating Costs'!$C$7:$AW$7,'12 Space Heating Subcomponents'!M20)) *'13 Space Heating Costs'!$C$16:$AW$16)</f>
        <v>15261.557265888317</v>
      </c>
      <c r="L18" s="140" cm="1">
        <f t="array" ref="L18">SUMPRODUCT(ISNUMBER( SEARCH('13 Space Heating Costs'!$C$7:$AW$7,'12 Space Heating Subcomponents'!N20)) *'13 Space Heating Costs'!$C$16:$AW$16)</f>
        <v>18600.056670902923</v>
      </c>
      <c r="M18" s="139"/>
      <c r="N18" s="140" cm="1">
        <f t="array" ref="N18">SUMPRODUCT(ISNUMBER( SEARCH('13 Space Heating Costs'!$C$7:$AW$7,'12 Space Heating Subcomponents'!P20)) *'13 Space Heating Costs'!$C$16:$AW$16)</f>
        <v>19745.382454771956</v>
      </c>
      <c r="O18" s="402" cm="1">
        <f t="array" ref="O18">SUMPRODUCT(ISNUMBER( SEARCH('13 Space Heating Costs'!$C$7:$AW$7,'12 Space Heating Subcomponents'!Q20)) *'13 Space Heating Costs'!$C$16:$AW$16)</f>
        <v>17742.719799512786</v>
      </c>
      <c r="P18" s="72"/>
      <c r="Q18" s="1105"/>
      <c r="R18" s="182" t="s">
        <v>246</v>
      </c>
      <c r="S18" s="182" t="s">
        <v>250</v>
      </c>
      <c r="T18" s="140" cm="1">
        <f t="array" ref="T18">SUMPRODUCT(ISNUMBER( SEARCH('13 Space Heating Costs'!$C$7:$AW$7,'12 Space Heating Subcomponents'!G36)) *'13 Space Heating Costs'!$C$16:$AW$16)</f>
        <v>15631.7026150578</v>
      </c>
      <c r="U18" s="140" cm="1">
        <f t="array" ref="U18">SUMPRODUCT(ISNUMBER( SEARCH('13 Space Heating Costs'!$C$7:$AW$7,'12 Space Heating Subcomponents'!H36)) *'13 Space Heating Costs'!$C$16:$AW$16)</f>
        <v>20042.847765483522</v>
      </c>
      <c r="V18" s="140" cm="1">
        <f t="array" ref="V18">SUMPRODUCT(ISNUMBER( SEARCH('13 Space Heating Costs'!$C$7:$AW$7,'12 Space Heating Subcomponents'!I36)) *'13 Space Heating Costs'!$C$16:$AW$16)</f>
        <v>15626.036609139484</v>
      </c>
      <c r="W18" s="140" cm="1">
        <f t="array" ref="W18">SUMPRODUCT(ISNUMBER( SEARCH('13 Space Heating Costs'!$C$7:$AW$7,'12 Space Heating Subcomponents'!J36)) *'13 Space Heating Costs'!$C$16:$AW$16)</f>
        <v>20042.847765483522</v>
      </c>
      <c r="X18" s="140" cm="1">
        <f t="array" ref="X18">SUMPRODUCT(ISNUMBER( SEARCH('13 Space Heating Costs'!$C$7:$AW$7,'12 Space Heating Subcomponents'!K36)) *'13 Space Heating Costs'!$C$16:$AW$16)</f>
        <v>15498.551475977383</v>
      </c>
      <c r="Y18" s="140" cm="1">
        <f t="array" ref="Y18">SUMPRODUCT(ISNUMBER( SEARCH('13 Space Heating Costs'!$C$7:$AW$7,'12 Space Heating Subcomponents'!L36)) *'13 Space Heating Costs'!$C$16:$AW$16)</f>
        <v>19315.63444786179</v>
      </c>
      <c r="Z18" s="140" cm="1">
        <f t="array" ref="Z18">SUMPRODUCT(ISNUMBER( SEARCH('13 Space Heating Costs'!$C$7:$AW$7,'12 Space Heating Subcomponents'!M36)) *'13 Space Heating Costs'!$C$16:$AW$16)</f>
        <v>15261.557265888317</v>
      </c>
      <c r="AA18" s="140" cm="1">
        <f t="array" ref="AA18">SUMPRODUCT(ISNUMBER( SEARCH('13 Space Heating Costs'!$C$7:$AW$7,'12 Space Heating Subcomponents'!N36)) *'13 Space Heating Costs'!$C$16:$AW$16)</f>
        <v>18600.056670902923</v>
      </c>
      <c r="AB18" s="139"/>
      <c r="AC18" s="140" cm="1">
        <f t="array" ref="AC18">SUMPRODUCT(ISNUMBER( SEARCH('13 Space Heating Costs'!$C$7:$AW$7,'12 Space Heating Subcomponents'!P36)) *'13 Space Heating Costs'!$C$16:$AW$16)</f>
        <v>19745.382454771956</v>
      </c>
      <c r="AD18" s="402" cm="1">
        <f t="array" ref="AD18">SUMPRODUCT(ISNUMBER( SEARCH('13 Space Heating Costs'!$C$7:$AW$7,'12 Space Heating Subcomponents'!Q36)) *'13 Space Heating Costs'!$C$16:$AW$16)</f>
        <v>17742.719799512786</v>
      </c>
      <c r="AE18" s="72"/>
      <c r="AF18" s="1105"/>
      <c r="AG18" s="182" t="s">
        <v>246</v>
      </c>
      <c r="AH18" s="182" t="s">
        <v>250</v>
      </c>
      <c r="AI18" s="140" cm="1">
        <f t="array" ref="AI18">SUMPRODUCT(ISNUMBER( SEARCH('13 Space Heating Costs'!$C$7:$AW$7,'12 Space Heating Subcomponents'!G52)) *'13 Space Heating Costs'!$C$16:$AW$16)</f>
        <v>15631.7026150578</v>
      </c>
      <c r="AJ18" s="140" cm="1">
        <f t="array" ref="AJ18">SUMPRODUCT(ISNUMBER( SEARCH('13 Space Heating Costs'!$C$7:$AW$7,'12 Space Heating Subcomponents'!H52)) *'13 Space Heating Costs'!$C$16:$AW$16)</f>
        <v>20042.847765483522</v>
      </c>
      <c r="AK18" s="140" cm="1">
        <f t="array" ref="AK18">SUMPRODUCT(ISNUMBER( SEARCH('13 Space Heating Costs'!$C$7:$AW$7,'12 Space Heating Subcomponents'!I52)) *'13 Space Heating Costs'!$C$16:$AW$16)</f>
        <v>15626.036609139484</v>
      </c>
      <c r="AL18" s="140" cm="1">
        <f t="array" ref="AL18">SUMPRODUCT(ISNUMBER( SEARCH('13 Space Heating Costs'!$C$7:$AW$7,'12 Space Heating Subcomponents'!J52)) *'13 Space Heating Costs'!$C$16:$AW$16)</f>
        <v>20042.847765483522</v>
      </c>
      <c r="AM18" s="140" cm="1">
        <f t="array" ref="AM18">SUMPRODUCT(ISNUMBER( SEARCH('13 Space Heating Costs'!$C$7:$AW$7,'12 Space Heating Subcomponents'!K52)) *'13 Space Heating Costs'!$C$16:$AW$16)</f>
        <v>15498.551475977383</v>
      </c>
      <c r="AN18" s="140" cm="1">
        <f t="array" ref="AN18">SUMPRODUCT(ISNUMBER( SEARCH('13 Space Heating Costs'!$C$7:$AW$7,'12 Space Heating Subcomponents'!L52)) *'13 Space Heating Costs'!$C$16:$AW$16)</f>
        <v>19315.63444786179</v>
      </c>
      <c r="AO18" s="140" cm="1">
        <f t="array" ref="AO18">SUMPRODUCT(ISNUMBER( SEARCH('13 Space Heating Costs'!$C$7:$AW$7,'12 Space Heating Subcomponents'!M52)) *'13 Space Heating Costs'!$C$16:$AW$16)</f>
        <v>15261.557265888317</v>
      </c>
      <c r="AP18" s="140" cm="1">
        <f t="array" ref="AP18">SUMPRODUCT(ISNUMBER( SEARCH('13 Space Heating Costs'!$C$7:$AW$7,'12 Space Heating Subcomponents'!N52)) *'13 Space Heating Costs'!$C$16:$AW$16)</f>
        <v>18600.056670902923</v>
      </c>
      <c r="AQ18" s="139"/>
      <c r="AR18" s="140" cm="1">
        <f t="array" ref="AR18">SUMPRODUCT(ISNUMBER( SEARCH('13 Space Heating Costs'!$C$7:$AW$7,'12 Space Heating Subcomponents'!P52)) *'13 Space Heating Costs'!$C$16:$AW$16)</f>
        <v>19745.382454771956</v>
      </c>
      <c r="AS18" s="402" cm="1">
        <f t="array" ref="AS18">SUMPRODUCT(ISNUMBER( SEARCH('13 Space Heating Costs'!$C$7:$AW$7,'12 Space Heating Subcomponents'!Q52)) *'13 Space Heating Costs'!$C$16:$AW$16)</f>
        <v>17742.719799512786</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Costs'!$C$16:$AW$16)</f>
        <v>2397.3426139888265</v>
      </c>
      <c r="F19" s="140" cm="1">
        <f t="array" ref="F19">SUMPRODUCT(ISNUMBER( SEARCH('13 Space Heating Costs'!$C$7:$AW$7,'12 Space Heating Subcomponents'!H21)) *'13 Space Heating Costs'!$C$16:$AW$16)</f>
        <v>3517.7952843357352</v>
      </c>
      <c r="G19" s="140" cm="1">
        <f t="array" ref="G19">SUMPRODUCT(ISNUMBER( SEARCH('13 Space Heating Costs'!$C$7:$AW$7,'12 Space Heating Subcomponents'!I21)) *'13 Space Heating Costs'!$C$16:$AW$16)</f>
        <v>5682.3690881493276</v>
      </c>
      <c r="H19" s="140" cm="1">
        <f t="array" ref="H19">SUMPRODUCT(ISNUMBER( SEARCH('13 Space Heating Costs'!$C$7:$AW$7,'12 Space Heating Subcomponents'!J21)) *'13 Space Heating Costs'!$C$16:$AW$16)</f>
        <v>6808.4877644145517</v>
      </c>
      <c r="I19" s="140" cm="1">
        <f t="array" ref="I19">SUMPRODUCT(ISNUMBER( SEARCH('13 Space Heating Costs'!$C$7:$AW$7,'12 Space Heating Subcomponents'!K21)) *'13 Space Heating Costs'!$C$16:$AW$16)</f>
        <v>2833.077011101368</v>
      </c>
      <c r="J19" s="140" cm="1">
        <f t="array" ref="J19">SUMPRODUCT(ISNUMBER( SEARCH('13 Space Heating Costs'!$C$7:$AW$7,'12 Space Heating Subcomponents'!L21)) *'13 Space Heating Costs'!$C$16:$AW$16)</f>
        <v>6081.2744467928187</v>
      </c>
      <c r="K19" s="140" cm="1">
        <f t="array" ref="K19">SUMPRODUCT(ISNUMBER( SEARCH('13 Space Heating Costs'!$C$7:$AW$7,'12 Space Heating Subcomponents'!M21)) *'13 Space Heating Costs'!$C$16:$AW$16)</f>
        <v>3300.5224993624042</v>
      </c>
      <c r="L19" s="140" cm="1">
        <f t="array" ref="L19">SUMPRODUCT(ISNUMBER( SEARCH('13 Space Heating Costs'!$C$7:$AW$7,'12 Space Heating Subcomponents'!N21)) *'13 Space Heating Costs'!$C$16:$AW$16)</f>
        <v>6639.0219043770094</v>
      </c>
      <c r="M19" s="140" cm="1">
        <f t="array" ref="M19">SUMPRODUCT(ISNUMBER( SEARCH('13 Space Heating Costs'!$C$7:$AW$7,'12 Space Heating Subcomponents'!O21)) *'13 Space Heating Costs'!$C$16:$AW$16)</f>
        <v>3300.5224993624042</v>
      </c>
      <c r="N19" s="139"/>
      <c r="O19" s="402" cm="1">
        <f t="array" ref="O19">SUMPRODUCT(ISNUMBER( SEARCH('13 Space Heating Costs'!$C$7:$AW$7,'12 Space Heating Subcomponents'!Q21)) *'13 Space Heating Costs'!$C$16:$AW$16)</f>
        <v>8503.4919768727341</v>
      </c>
      <c r="P19" s="72"/>
      <c r="Q19" s="1105"/>
      <c r="R19" s="182" t="s">
        <v>86</v>
      </c>
      <c r="S19" s="182" t="s">
        <v>243</v>
      </c>
      <c r="T19" s="140" cm="1">
        <f t="array" ref="T19">SUMPRODUCT(ISNUMBER( SEARCH('13 Space Heating Costs'!$C$7:$AW$7,'12 Space Heating Subcomponents'!G37)) *'13 Space Heating Costs'!$C$16:$AW$16)</f>
        <v>3180.1305230487137</v>
      </c>
      <c r="U19" s="140" cm="1">
        <f t="array" ref="U19">SUMPRODUCT(ISNUMBER( SEARCH('13 Space Heating Costs'!$C$7:$AW$7,'12 Space Heating Subcomponents'!H37)) *'13 Space Heating Costs'!$C$16:$AW$16)</f>
        <v>4300.5831933956224</v>
      </c>
      <c r="V19" s="140" cm="1">
        <f t="array" ref="V19">SUMPRODUCT(ISNUMBER( SEARCH('13 Space Heating Costs'!$C$7:$AW$7,'12 Space Heating Subcomponents'!I37)) *'13 Space Heating Costs'!$C$16:$AW$16)</f>
        <v>6465.1569972092148</v>
      </c>
      <c r="W19" s="140" cm="1">
        <f t="array" ref="W19">SUMPRODUCT(ISNUMBER( SEARCH('13 Space Heating Costs'!$C$7:$AW$7,'12 Space Heating Subcomponents'!J37)) *'13 Space Heating Costs'!$C$16:$AW$16)</f>
        <v>7591.2756734744389</v>
      </c>
      <c r="X19" s="140" cm="1">
        <f t="array" ref="X19">SUMPRODUCT(ISNUMBER( SEARCH('13 Space Heating Costs'!$C$7:$AW$7,'12 Space Heating Subcomponents'!K37)) *'13 Space Heating Costs'!$C$16:$AW$16)</f>
        <v>3615.8649201612552</v>
      </c>
      <c r="Y19" s="140" cm="1">
        <f t="array" ref="Y19">SUMPRODUCT(ISNUMBER( SEARCH('13 Space Heating Costs'!$C$7:$AW$7,'12 Space Heating Subcomponents'!L37)) *'13 Space Heating Costs'!$C$16:$AW$16)</f>
        <v>6864.0623558527059</v>
      </c>
      <c r="Z19" s="140" cm="1">
        <f t="array" ref="Z19">SUMPRODUCT(ISNUMBER( SEARCH('13 Space Heating Costs'!$C$7:$AW$7,'12 Space Heating Subcomponents'!M37)) *'13 Space Heating Costs'!$C$16:$AW$16)</f>
        <v>4083.3104084222914</v>
      </c>
      <c r="AA19" s="140" cm="1">
        <f t="array" ref="AA19">SUMPRODUCT(ISNUMBER( SEARCH('13 Space Heating Costs'!$C$7:$AW$7,'12 Space Heating Subcomponents'!N37)) *'13 Space Heating Costs'!$C$16:$AW$16)</f>
        <v>7421.8098134368965</v>
      </c>
      <c r="AB19" s="140" cm="1">
        <f t="array" ref="AB19">SUMPRODUCT(ISNUMBER( SEARCH('13 Space Heating Costs'!$C$7:$AW$7,'12 Space Heating Subcomponents'!O37)) *'13 Space Heating Costs'!$C$16:$AW$16)</f>
        <v>4083.3104084222914</v>
      </c>
      <c r="AC19" s="139"/>
      <c r="AD19" s="402" cm="1">
        <f t="array" ref="AD19">SUMPRODUCT(ISNUMBER( SEARCH('13 Space Heating Costs'!$C$7:$AW$7,'12 Space Heating Subcomponents'!Q37)) *'13 Space Heating Costs'!$C$16:$AW$16)</f>
        <v>9286.2798859326213</v>
      </c>
      <c r="AE19" s="72"/>
      <c r="AF19" s="1105"/>
      <c r="AG19" s="182" t="s">
        <v>86</v>
      </c>
      <c r="AH19" s="182" t="s">
        <v>243</v>
      </c>
      <c r="AI19" s="140" cm="1">
        <f t="array" ref="AI19">SUMPRODUCT(ISNUMBER( SEARCH('13 Space Heating Costs'!$C$7:$AW$7,'12 Space Heating Subcomponents'!G53)) *'13 Space Heating Costs'!$C$16:$AW$16)</f>
        <v>2062.0887258867397</v>
      </c>
      <c r="AJ19" s="140" cm="1">
        <f t="array" ref="AJ19">SUMPRODUCT(ISNUMBER( SEARCH('13 Space Heating Costs'!$C$7:$AW$7,'12 Space Heating Subcomponents'!H53)) *'13 Space Heating Costs'!$C$16:$AW$16)</f>
        <v>3182.5413962336479</v>
      </c>
      <c r="AK19" s="140" cm="1">
        <f t="array" ref="AK19">SUMPRODUCT(ISNUMBER( SEARCH('13 Space Heating Costs'!$C$7:$AW$7,'12 Space Heating Subcomponents'!I53)) *'13 Space Heating Costs'!$C$16:$AW$16)</f>
        <v>5347.1152000472412</v>
      </c>
      <c r="AL19" s="140" cm="1">
        <f t="array" ref="AL19">SUMPRODUCT(ISNUMBER( SEARCH('13 Space Heating Costs'!$C$7:$AW$7,'12 Space Heating Subcomponents'!J53)) *'13 Space Heating Costs'!$C$16:$AW$16)</f>
        <v>6473.2338763124644</v>
      </c>
      <c r="AM19" s="140" cm="1">
        <f t="array" ref="AM19">SUMPRODUCT(ISNUMBER( SEARCH('13 Space Heating Costs'!$C$7:$AW$7,'12 Space Heating Subcomponents'!K53)) *'13 Space Heating Costs'!$C$16:$AW$16)</f>
        <v>2497.8231229992807</v>
      </c>
      <c r="AN19" s="140" cm="1">
        <f t="array" ref="AN19">SUMPRODUCT(ISNUMBER( SEARCH('13 Space Heating Costs'!$C$7:$AW$7,'12 Space Heating Subcomponents'!L53)) *'13 Space Heating Costs'!$C$16:$AW$16)</f>
        <v>5746.0205586907323</v>
      </c>
      <c r="AO19" s="140" cm="1">
        <f t="array" ref="AO19">SUMPRODUCT(ISNUMBER( SEARCH('13 Space Heating Costs'!$C$7:$AW$7,'12 Space Heating Subcomponents'!M53)) *'13 Space Heating Costs'!$C$16:$AW$16)</f>
        <v>2965.2686112603174</v>
      </c>
      <c r="AP19" s="140" cm="1">
        <f t="array" ref="AP19">SUMPRODUCT(ISNUMBER( SEARCH('13 Space Heating Costs'!$C$7:$AW$7,'12 Space Heating Subcomponents'!N53)) *'13 Space Heating Costs'!$C$16:$AW$16)</f>
        <v>6303.768016274922</v>
      </c>
      <c r="AQ19" s="140" cm="1">
        <f t="array" ref="AQ19">SUMPRODUCT(ISNUMBER( SEARCH('13 Space Heating Costs'!$C$7:$AW$7,'12 Space Heating Subcomponents'!O53)) *'13 Space Heating Costs'!$C$16:$AW$16)</f>
        <v>2965.2686112603174</v>
      </c>
      <c r="AR19" s="139"/>
      <c r="AS19" s="402" cm="1">
        <f t="array" ref="AS19">SUMPRODUCT(ISNUMBER( SEARCH('13 Space Heating Costs'!$C$7:$AW$7,'12 Space Heating Subcomponents'!Q53)) *'13 Space Heating Costs'!$C$16:$AW$16)</f>
        <v>8168.2380887706477</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Costs'!$C$16:$AW$16)</f>
        <v>3730.1117998309824</v>
      </c>
      <c r="F20" s="403" cm="1">
        <f t="array" ref="F20">SUMPRODUCT(ISNUMBER( SEARCH('13 Space Heating Costs'!$C$7:$AW$7,'12 Space Heating Subcomponents'!H22)) *'13 Space Heating Costs'!$C$16:$AW$16)</f>
        <v>4850.5644701778911</v>
      </c>
      <c r="G20" s="403" cm="1">
        <f t="array" ref="G20">SUMPRODUCT(ISNUMBER( SEARCH('13 Space Heating Costs'!$C$7:$AW$7,'12 Space Heating Subcomponents'!I22)) *'13 Space Heating Costs'!$C$16:$AW$16)</f>
        <v>3724.4457939126669</v>
      </c>
      <c r="H20" s="403" cm="1">
        <f t="array" ref="H20">SUMPRODUCT(ISNUMBER( SEARCH('13 Space Heating Costs'!$C$7:$AW$7,'12 Space Heating Subcomponents'!J22)) *'13 Space Heating Costs'!$C$16:$AW$16)</f>
        <v>4850.5644701778911</v>
      </c>
      <c r="I20" s="403" cm="1">
        <f t="array" ref="I20">SUMPRODUCT(ISNUMBER( SEARCH('13 Space Heating Costs'!$C$7:$AW$7,'12 Space Heating Subcomponents'!K22)) *'13 Space Heating Costs'!$C$16:$AW$16)</f>
        <v>3596.9606607505661</v>
      </c>
      <c r="J20" s="403" cm="1">
        <f t="array" ref="J20">SUMPRODUCT(ISNUMBER( SEARCH('13 Space Heating Costs'!$C$7:$AW$7,'12 Space Heating Subcomponents'!L22)) *'13 Space Heating Costs'!$C$16:$AW$16)</f>
        <v>3554.4656163631989</v>
      </c>
      <c r="K20" s="403" cm="1">
        <f t="array" ref="K20">SUMPRODUCT(ISNUMBER( SEARCH('13 Space Heating Costs'!$C$7:$AW$7,'12 Space Heating Subcomponents'!M22)) *'13 Space Heating Costs'!$C$16:$AW$16)</f>
        <v>4064.4061490116023</v>
      </c>
      <c r="L20" s="403" cm="1">
        <f t="array" ref="L20">SUMPRODUCT(ISNUMBER( SEARCH('13 Space Heating Costs'!$C$7:$AW$7,'12 Space Heating Subcomponents'!N22)) *'13 Space Heating Costs'!$C$16:$AW$16)</f>
        <v>4112.2130739473905</v>
      </c>
      <c r="M20" s="403" cm="1">
        <f t="array" ref="M20">SUMPRODUCT(ISNUMBER( SEARCH('13 Space Heating Costs'!$C$7:$AW$7,'12 Space Heating Subcomponents'!O22)) *'13 Space Heating Costs'!$C$16:$AW$16)</f>
        <v>4064.4061490116023</v>
      </c>
      <c r="N20" s="403" cm="1">
        <f t="array" ref="N20">SUMPRODUCT(ISNUMBER( SEARCH('13 Space Heating Costs'!$C$7:$AW$7,'12 Space Heating Subcomponents'!P22)) *'13 Space Heating Costs'!$C$16:$AW$16)</f>
        <v>4553.0991594663219</v>
      </c>
      <c r="O20" s="516"/>
      <c r="P20" s="58"/>
      <c r="Q20" s="1106"/>
      <c r="R20" s="366" t="s">
        <v>252</v>
      </c>
      <c r="S20" s="366" t="s">
        <v>253</v>
      </c>
      <c r="T20" s="403" cm="1">
        <f t="array" ref="T20">SUMPRODUCT(ISNUMBER( SEARCH('13 Space Heating Costs'!$C$7:$AW$7,'12 Space Heating Subcomponents'!G38)) *'13 Space Heating Costs'!$C$16:$AW$16)</f>
        <v>3730.1117998309824</v>
      </c>
      <c r="U20" s="403" cm="1">
        <f t="array" ref="U20">SUMPRODUCT(ISNUMBER( SEARCH('13 Space Heating Costs'!$C$7:$AW$7,'12 Space Heating Subcomponents'!H38)) *'13 Space Heating Costs'!$C$16:$AW$16)</f>
        <v>4850.5644701778911</v>
      </c>
      <c r="V20" s="403" cm="1">
        <f t="array" ref="V20">SUMPRODUCT(ISNUMBER( SEARCH('13 Space Heating Costs'!$C$7:$AW$7,'12 Space Heating Subcomponents'!I38)) *'13 Space Heating Costs'!$C$16:$AW$16)</f>
        <v>3724.4457939126669</v>
      </c>
      <c r="W20" s="403" cm="1">
        <f t="array" ref="W20">SUMPRODUCT(ISNUMBER( SEARCH('13 Space Heating Costs'!$C$7:$AW$7,'12 Space Heating Subcomponents'!J38)) *'13 Space Heating Costs'!$C$16:$AW$16)</f>
        <v>4850.5644701778911</v>
      </c>
      <c r="X20" s="403" cm="1">
        <f t="array" ref="X20">SUMPRODUCT(ISNUMBER( SEARCH('13 Space Heating Costs'!$C$7:$AW$7,'12 Space Heating Subcomponents'!K38)) *'13 Space Heating Costs'!$C$16:$AW$16)</f>
        <v>3596.9606607505661</v>
      </c>
      <c r="Y20" s="403" cm="1">
        <f t="array" ref="Y20">SUMPRODUCT(ISNUMBER( SEARCH('13 Space Heating Costs'!$C$7:$AW$7,'12 Space Heating Subcomponents'!L38)) *'13 Space Heating Costs'!$C$16:$AW$16)</f>
        <v>3554.4656163631989</v>
      </c>
      <c r="Z20" s="403" cm="1">
        <f t="array" ref="Z20">SUMPRODUCT(ISNUMBER( SEARCH('13 Space Heating Costs'!$C$7:$AW$7,'12 Space Heating Subcomponents'!M38)) *'13 Space Heating Costs'!$C$16:$AW$16)</f>
        <v>4064.4061490116023</v>
      </c>
      <c r="AA20" s="403" cm="1">
        <f t="array" ref="AA20">SUMPRODUCT(ISNUMBER( SEARCH('13 Space Heating Costs'!$C$7:$AW$7,'12 Space Heating Subcomponents'!N38)) *'13 Space Heating Costs'!$C$16:$AW$16)</f>
        <v>4112.2130739473905</v>
      </c>
      <c r="AB20" s="403" cm="1">
        <f t="array" ref="AB20">SUMPRODUCT(ISNUMBER( SEARCH('13 Space Heating Costs'!$C$7:$AW$7,'12 Space Heating Subcomponents'!O38)) *'13 Space Heating Costs'!$C$16:$AW$16)</f>
        <v>4064.4061490116023</v>
      </c>
      <c r="AC20" s="403" cm="1">
        <f t="array" ref="AC20">SUMPRODUCT(ISNUMBER( SEARCH('13 Space Heating Costs'!$C$7:$AW$7,'12 Space Heating Subcomponents'!P38)) *'13 Space Heating Costs'!$C$16:$AW$16)</f>
        <v>4553.0991594663219</v>
      </c>
      <c r="AD20" s="516"/>
      <c r="AE20" s="58"/>
      <c r="AF20" s="1106"/>
      <c r="AG20" s="366" t="s">
        <v>252</v>
      </c>
      <c r="AH20" s="366" t="s">
        <v>253</v>
      </c>
      <c r="AI20" s="403" cm="1">
        <f t="array" ref="AI20">SUMPRODUCT(ISNUMBER( SEARCH('13 Space Heating Costs'!$C$7:$AW$7,'12 Space Heating Subcomponents'!G54)) *'13 Space Heating Costs'!$C$16:$AW$16)</f>
        <v>3730.1117998309824</v>
      </c>
      <c r="AJ20" s="403" cm="1">
        <f t="array" ref="AJ20">SUMPRODUCT(ISNUMBER( SEARCH('13 Space Heating Costs'!$C$7:$AW$7,'12 Space Heating Subcomponents'!H54)) *'13 Space Heating Costs'!$C$16:$AW$16)</f>
        <v>4850.5644701778911</v>
      </c>
      <c r="AK20" s="403" cm="1">
        <f t="array" ref="AK20">SUMPRODUCT(ISNUMBER( SEARCH('13 Space Heating Costs'!$C$7:$AW$7,'12 Space Heating Subcomponents'!I54)) *'13 Space Heating Costs'!$C$16:$AW$16)</f>
        <v>3724.4457939126669</v>
      </c>
      <c r="AL20" s="403" cm="1">
        <f t="array" ref="AL20">SUMPRODUCT(ISNUMBER( SEARCH('13 Space Heating Costs'!$C$7:$AW$7,'12 Space Heating Subcomponents'!J54)) *'13 Space Heating Costs'!$C$16:$AW$16)</f>
        <v>4850.5644701778911</v>
      </c>
      <c r="AM20" s="403" cm="1">
        <f t="array" ref="AM20">SUMPRODUCT(ISNUMBER( SEARCH('13 Space Heating Costs'!$C$7:$AW$7,'12 Space Heating Subcomponents'!K54)) *'13 Space Heating Costs'!$C$16:$AW$16)</f>
        <v>3596.9606607505661</v>
      </c>
      <c r="AN20" s="403" cm="1">
        <f t="array" ref="AN20">SUMPRODUCT(ISNUMBER( SEARCH('13 Space Heating Costs'!$C$7:$AW$7,'12 Space Heating Subcomponents'!L54)) *'13 Space Heating Costs'!$C$16:$AW$16)</f>
        <v>3554.4656163631989</v>
      </c>
      <c r="AO20" s="403" cm="1">
        <f t="array" ref="AO20">SUMPRODUCT(ISNUMBER( SEARCH('13 Space Heating Costs'!$C$7:$AW$7,'12 Space Heating Subcomponents'!M54)) *'13 Space Heating Costs'!$C$16:$AW$16)</f>
        <v>4064.4061490116023</v>
      </c>
      <c r="AP20" s="403" cm="1">
        <f t="array" ref="AP20">SUMPRODUCT(ISNUMBER( SEARCH('13 Space Heating Costs'!$C$7:$AW$7,'12 Space Heating Subcomponents'!N54)) *'13 Space Heating Costs'!$C$16:$AW$16)</f>
        <v>4112.2130739473905</v>
      </c>
      <c r="AQ20" s="403" cm="1">
        <f t="array" ref="AQ20">SUMPRODUCT(ISNUMBER( SEARCH('13 Space Heating Costs'!$C$7:$AW$7,'12 Space Heating Subcomponents'!O54)) *'13 Space Heating Costs'!$C$16:$AW$16)</f>
        <v>4064.4061490116023</v>
      </c>
      <c r="AR20" s="403" cm="1">
        <f t="array" ref="AR20">SUMPRODUCT(ISNUMBER( SEARCH('13 Space Heating Costs'!$C$7:$AW$7,'12 Space Heating Subcomponents'!P54)) *'13 Space Heating Costs'!$C$16:$AW$16)</f>
        <v>4553.0991594663219</v>
      </c>
      <c r="AS20" s="516"/>
      <c r="AT20" s="58"/>
    </row>
    <row r="21" spans="1:46" s="61" customFormat="1" ht="80.099999999999994"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A22" s="673"/>
      <c r="B22" s="1107" t="s">
        <v>1070</v>
      </c>
      <c r="C22" s="1108"/>
      <c r="D22" s="1108"/>
      <c r="E22" s="1108"/>
      <c r="F22" s="1108"/>
      <c r="G22" s="1108"/>
      <c r="H22" s="1109"/>
      <c r="I22"/>
      <c r="Q22" s="1107" t="s">
        <v>1071</v>
      </c>
      <c r="R22" s="1108"/>
      <c r="S22" s="1108"/>
      <c r="T22" s="1108"/>
      <c r="U22" s="1108"/>
      <c r="V22" s="1108"/>
      <c r="W22" s="1109"/>
      <c r="X22"/>
      <c r="AF22" s="1107" t="s">
        <v>1075</v>
      </c>
      <c r="AG22" s="1108"/>
      <c r="AH22" s="1108"/>
      <c r="AI22" s="1108"/>
      <c r="AJ22" s="1108"/>
      <c r="AK22" s="1108"/>
      <c r="AL22" s="1109"/>
      <c r="AM22" s="673"/>
      <c r="AN22" s="673"/>
      <c r="AO22" s="673"/>
      <c r="AP22" s="673"/>
      <c r="AQ22" s="673"/>
    </row>
    <row r="23" spans="1:46" s="5" customFormat="1" ht="79.900000000000006"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c r="AM23" s="675"/>
      <c r="AN23" s="675"/>
      <c r="AO23" s="675"/>
      <c r="AP23" s="675"/>
      <c r="AQ23" s="675"/>
    </row>
    <row r="24" spans="1:46" s="5" customFormat="1" ht="79.900000000000006"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c r="AM24" s="672"/>
      <c r="AN24" s="672"/>
      <c r="AO24" s="672"/>
      <c r="AP24" s="672"/>
      <c r="AQ24" s="672"/>
    </row>
    <row r="25" spans="1:46" s="5" customFormat="1" ht="79.900000000000006" customHeight="1" x14ac:dyDescent="0.25">
      <c r="B25" s="1114"/>
      <c r="C25" s="1115"/>
      <c r="D25" s="1122"/>
      <c r="E25" s="1122"/>
      <c r="F25" s="1122"/>
      <c r="G25" s="1122"/>
      <c r="H25" s="1124"/>
      <c r="I25"/>
      <c r="Q25" s="1114"/>
      <c r="R25" s="1115"/>
      <c r="S25" s="1122"/>
      <c r="T25" s="1122"/>
      <c r="U25" s="1122"/>
      <c r="V25" s="1122"/>
      <c r="W25" s="1124"/>
      <c r="X25"/>
      <c r="AF25" s="1114"/>
      <c r="AG25" s="1115"/>
      <c r="AH25" s="179"/>
      <c r="AI25" s="179"/>
      <c r="AJ25" s="179"/>
      <c r="AK25" s="179"/>
      <c r="AL25" s="180"/>
      <c r="AM25" s="676"/>
      <c r="AN25" s="676"/>
      <c r="AO25" s="676"/>
      <c r="AP25" s="676"/>
      <c r="AQ25" s="676"/>
    </row>
    <row r="26" spans="1:46" s="5" customFormat="1" ht="199.9" customHeight="1" x14ac:dyDescent="0.25">
      <c r="B26" s="1104" t="s">
        <v>952</v>
      </c>
      <c r="C26" s="149" t="s">
        <v>246</v>
      </c>
      <c r="D26" s="143" cm="1">
        <f t="array" ref="D26">SUMPRODUCT(ISNUMBER(SEARCH('16 Water Heating Costs'!$E$42:$AE$42,'16 Water Heating Costs'!F10)) *'16 Water Heating Costs'!$E$51:$AE$51)</f>
        <v>0</v>
      </c>
      <c r="E26" s="143" cm="1">
        <f t="array" ref="E26">SUMPRODUCT(ISNUMBER(SEARCH('16 Water Heating Costs'!$E$42:$AE$42,'16 Water Heating Costs'!G10)) *'16 Water Heating Costs'!$E$51:$AE$51)</f>
        <v>976.47284593927793</v>
      </c>
      <c r="F26" s="143" cm="1">
        <f t="array" ref="F26">SUMPRODUCT(ISNUMBER(SEARCH('16 Water Heating Costs'!$E$42:$AE$42,'16 Water Heating Costs'!H10)) *'16 Water Heating Costs'!$E$51:$AE$51)</f>
        <v>976.47284593927793</v>
      </c>
      <c r="G26" s="143" cm="1">
        <f t="array" ref="G26">SUMPRODUCT(ISNUMBER(SEARCH('16 Water Heating Costs'!$E$42:$AE$42,'16 Water Heating Costs'!I10)) *'16 Water Heating Costs'!$E$51:$AE$51)</f>
        <v>976.47284593927793</v>
      </c>
      <c r="H26" s="150" cm="1">
        <f t="array" ref="H26">SUMPRODUCT(ISNUMBER(SEARCH('16 Water Heating Costs'!$E$42:$AE$42,'16 Water Heating Costs'!J10)) *'16 Water Heating Costs'!$E$51:$AE$51)</f>
        <v>784.43969835010193</v>
      </c>
      <c r="I26"/>
      <c r="Q26" s="1104" t="s">
        <v>952</v>
      </c>
      <c r="R26" s="149" t="s">
        <v>246</v>
      </c>
      <c r="S26" s="143" cm="1">
        <f t="array" ref="S26">SUMPRODUCT(ISNUMBER(SEARCH('16 Water Heating Costs'!$E$42:$AE$42,'16 Water Heating Costs'!N10)) *'16 Water Heating Costs'!$E$51:$AE$51)</f>
        <v>0</v>
      </c>
      <c r="T26" s="143" cm="1">
        <f t="array" ref="T26">SUMPRODUCT(ISNUMBER(SEARCH('16 Water Heating Costs'!$E$42:$AE$42,'16 Water Heating Costs'!O10)) *'16 Water Heating Costs'!$E$51:$AE$51)</f>
        <v>976.47284593927793</v>
      </c>
      <c r="U26" s="143" cm="1">
        <f t="array" ref="U26">SUMPRODUCT(ISNUMBER(SEARCH('16 Water Heating Costs'!$E$42:$AE$42,'16 Water Heating Costs'!P10)) *'16 Water Heating Costs'!$E$51:$AE$51)</f>
        <v>976.47284593927793</v>
      </c>
      <c r="V26" s="143" cm="1">
        <f t="array" ref="V26">SUMPRODUCT(ISNUMBER(SEARCH('16 Water Heating Costs'!$E$42:$AE$42,'16 Water Heating Costs'!Q10)) *'16 Water Heating Costs'!$E$51:$AE$51)</f>
        <v>976.47284593927793</v>
      </c>
      <c r="W26" s="150" cm="1">
        <f t="array" ref="W26">SUMPRODUCT(ISNUMBER(SEARCH('16 Water Heating Costs'!$E$42:$AE$42,'16 Water Heating Costs'!R10)) *'16 Water Heating Costs'!$E$51:$AE$51)</f>
        <v>784.43969835010193</v>
      </c>
      <c r="X26"/>
      <c r="AF26" s="1104" t="s">
        <v>952</v>
      </c>
      <c r="AG26" s="149" t="s">
        <v>246</v>
      </c>
      <c r="AH26" s="143" cm="1">
        <f t="array" ref="AH26">SUMPRODUCT(ISNUMBER(SEARCH('16 Water Heating Costs'!$E$42:$AE$42,'16 Water Heating Costs'!V10)) *'16 Water Heating Costs'!$E$51:$AE$51)</f>
        <v>0</v>
      </c>
      <c r="AI26" s="143" cm="1">
        <f t="array" ref="AI26">SUMPRODUCT(ISNUMBER(SEARCH('16 Water Heating Costs'!$E$42:$AE$42,'16 Water Heating Costs'!W10)) *'16 Water Heating Costs'!$E$51:$AE$51)</f>
        <v>976.47284593927793</v>
      </c>
      <c r="AJ26" s="143" cm="1">
        <f t="array" ref="AJ26">SUMPRODUCT(ISNUMBER(SEARCH('16 Water Heating Costs'!$E$42:$AE$42,'16 Water Heating Costs'!X10)) *'16 Water Heating Costs'!$E$51:$AE$51)</f>
        <v>976.47284593927793</v>
      </c>
      <c r="AK26" s="143" cm="1">
        <f t="array" ref="AK26">SUMPRODUCT(ISNUMBER(SEARCH('16 Water Heating Costs'!$E$42:$AE$42,'16 Water Heating Costs'!Y10)) *'16 Water Heating Costs'!$E$51:$AE$51)</f>
        <v>976.47284593927793</v>
      </c>
      <c r="AL26" s="150" cm="1">
        <f t="array" ref="AL26">SUMPRODUCT(ISNUMBER(SEARCH('16 Water Heating Costs'!$E$42:$AE$42,'16 Water Heating Costs'!Z10)) *'16 Water Heating Costs'!$E$51:$AE$51)</f>
        <v>784.43969835010193</v>
      </c>
      <c r="AM26" s="681"/>
      <c r="AN26" s="681"/>
      <c r="AO26" s="681"/>
      <c r="AP26" s="681"/>
      <c r="AQ26" s="681"/>
    </row>
    <row r="27" spans="1:46" s="5" customFormat="1" ht="199.9" customHeight="1" x14ac:dyDescent="0.25">
      <c r="B27" s="1105"/>
      <c r="C27" s="152" t="s">
        <v>244</v>
      </c>
      <c r="D27" s="142"/>
      <c r="E27" s="142"/>
      <c r="F27" s="142"/>
      <c r="G27" s="142"/>
      <c r="H27" s="144"/>
      <c r="I27"/>
      <c r="Q27" s="1105"/>
      <c r="R27" s="152" t="s">
        <v>244</v>
      </c>
      <c r="S27" s="142"/>
      <c r="T27" s="142"/>
      <c r="U27" s="142"/>
      <c r="V27" s="142"/>
      <c r="W27" s="144"/>
      <c r="X27"/>
      <c r="AF27" s="1119"/>
      <c r="AG27" s="152" t="s">
        <v>244</v>
      </c>
      <c r="AH27" s="142"/>
      <c r="AI27" s="142"/>
      <c r="AJ27" s="142"/>
      <c r="AK27" s="142"/>
      <c r="AL27" s="144"/>
      <c r="AM27" s="681"/>
      <c r="AN27" s="681"/>
      <c r="AO27" s="681"/>
      <c r="AP27" s="681"/>
      <c r="AQ27" s="681"/>
    </row>
    <row r="28" spans="1:46" s="5" customFormat="1" ht="199.9" customHeight="1" x14ac:dyDescent="0.25">
      <c r="B28" s="1105"/>
      <c r="C28" s="152" t="s">
        <v>86</v>
      </c>
      <c r="D28" s="143" cm="1">
        <f t="array" ref="D28">SUMPRODUCT(ISNUMBER(SEARCH('16 Water Heating Costs'!$E$42:$AE$42,'16 Water Heating Costs'!F12)) *'16 Water Heating Costs'!$E$51:$AE$51)</f>
        <v>3142.6809750476441</v>
      </c>
      <c r="E28" s="143" cm="1">
        <f t="array" ref="E28">SUMPRODUCT(ISNUMBER(SEARCH('16 Water Heating Costs'!$E$42:$AE$42,'16 Water Heating Costs'!G12)) *'16 Water Heating Costs'!$E$51:$AE$51)</f>
        <v>2685.8285864438622</v>
      </c>
      <c r="F28" s="143" cm="1">
        <f t="array" ref="F28">SUMPRODUCT(ISNUMBER(SEARCH('16 Water Heating Costs'!$E$42:$AE$42,'16 Water Heating Costs'!H12)) *'16 Water Heating Costs'!$E$51:$AE$51)</f>
        <v>1778.2656920958409</v>
      </c>
      <c r="G28" s="143" cm="1">
        <f t="array" ref="G28">SUMPRODUCT(ISNUMBER(SEARCH('16 Water Heating Costs'!$E$42:$AE$42,'16 Water Heating Costs'!I12)) *'16 Water Heating Costs'!$E$51:$AE$51)</f>
        <v>2685.8285864438622</v>
      </c>
      <c r="H28" s="150" cm="1">
        <f t="array" ref="H28">SUMPRODUCT(ISNUMBER(SEARCH('16 Water Heating Costs'!$E$42:$AE$42,'16 Water Heating Costs'!J12)) *'16 Water Heating Costs'!$E$51:$AE$51)</f>
        <v>3142.6809750476441</v>
      </c>
      <c r="I28"/>
      <c r="Q28" s="1105"/>
      <c r="R28" s="152" t="s">
        <v>86</v>
      </c>
      <c r="S28" s="143" cm="1">
        <f t="array" ref="S28">SUMPRODUCT(ISNUMBER(SEARCH('16 Water Heating Costs'!$E$42:$AE$42,'16 Water Heating Costs'!N12)) *'16 Water Heating Costs'!$E$51:$AE$51)</f>
        <v>3806.1630887540077</v>
      </c>
      <c r="T28" s="143" cm="1">
        <f t="array" ref="T28">SUMPRODUCT(ISNUMBER(SEARCH('16 Water Heating Costs'!$E$42:$AE$42,'16 Water Heating Costs'!O12)) *'16 Water Heating Costs'!$E$51:$AE$51)</f>
        <v>3349.3107001502258</v>
      </c>
      <c r="U28" s="143" cm="1">
        <f t="array" ref="U28">SUMPRODUCT(ISNUMBER(SEARCH('16 Water Heating Costs'!$E$42:$AE$42,'16 Water Heating Costs'!P12)) *'16 Water Heating Costs'!$E$51:$AE$51)</f>
        <v>2441.7478058022043</v>
      </c>
      <c r="V28" s="143" cm="1">
        <f t="array" ref="V28">SUMPRODUCT(ISNUMBER(SEARCH('16 Water Heating Costs'!$E$42:$AE$42,'16 Water Heating Costs'!Q12)) *'16 Water Heating Costs'!$E$51:$AE$51)</f>
        <v>3349.3107001502258</v>
      </c>
      <c r="W28" s="150" cm="1">
        <f t="array" ref="W28">SUMPRODUCT(ISNUMBER(SEARCH('16 Water Heating Costs'!$E$42:$AE$42,'16 Water Heating Costs'!R12)) *'16 Water Heating Costs'!$E$51:$AE$51)</f>
        <v>3806.1630887540077</v>
      </c>
      <c r="X28"/>
      <c r="AF28" s="1119"/>
      <c r="AG28" s="152" t="s">
        <v>86</v>
      </c>
      <c r="AH28" s="143" cm="1">
        <f t="array" ref="AH28">SUMPRODUCT(ISNUMBER(SEARCH('16 Water Heating Costs'!$E$42:$AE$42,'16 Water Heating Costs'!V12)) *'16 Water Heating Costs'!$E$51:$AE$51)</f>
        <v>2858.5235989157245</v>
      </c>
      <c r="AI28" s="143" cm="1">
        <f t="array" ref="AI28">SUMPRODUCT(ISNUMBER(SEARCH('16 Water Heating Costs'!$E$42:$AE$42,'16 Water Heating Costs'!W12)) *'16 Water Heating Costs'!$E$51:$AE$51)</f>
        <v>2401.6712103119426</v>
      </c>
      <c r="AJ28" s="143" cm="1">
        <f t="array" ref="AJ28">SUMPRODUCT(ISNUMBER(SEARCH('16 Water Heating Costs'!$E$42:$AE$42,'16 Water Heating Costs'!X12)) *'16 Water Heating Costs'!$E$51:$AE$51)</f>
        <v>1494.1083159639213</v>
      </c>
      <c r="AK28" s="143" cm="1">
        <f t="array" ref="AK28">SUMPRODUCT(ISNUMBER(SEARCH('16 Water Heating Costs'!$E$42:$AE$42,'16 Water Heating Costs'!Y12)) *'16 Water Heating Costs'!$E$51:$AE$51)</f>
        <v>2401.6712103119426</v>
      </c>
      <c r="AL28" s="150" cm="1">
        <f t="array" ref="AL28">SUMPRODUCT(ISNUMBER(SEARCH('16 Water Heating Costs'!$E$42:$AE$42,'16 Water Heating Costs'!Z12)) *'16 Water Heating Costs'!$E$51:$AE$51)</f>
        <v>2858.5235989157245</v>
      </c>
      <c r="AM28" s="681"/>
      <c r="AN28" s="681"/>
      <c r="AO28" s="681"/>
      <c r="AP28" s="681"/>
      <c r="AQ28" s="681"/>
    </row>
    <row r="29" spans="1:46" s="5" customFormat="1" ht="199.9" customHeight="1" x14ac:dyDescent="0.25">
      <c r="B29" s="1105"/>
      <c r="C29" s="152" t="s">
        <v>242</v>
      </c>
      <c r="D29" s="143" cm="1">
        <f t="array" ref="D29">SUMPRODUCT(ISNUMBER(SEARCH('16 Water Heating Costs'!$E$42:$AE$42,'16 Water Heating Costs'!F13)) *'16 Water Heating Costs'!$E$51:$AE$51)</f>
        <v>3142.6809750476441</v>
      </c>
      <c r="E29" s="143" cm="1">
        <f t="array" ref="E29">SUMPRODUCT(ISNUMBER(SEARCH('16 Water Heating Costs'!$E$42:$AE$42,'16 Water Heating Costs'!G13)) *'16 Water Heating Costs'!$E$51:$AE$51)</f>
        <v>2685.8285864438622</v>
      </c>
      <c r="F29" s="143" cm="1">
        <f t="array" ref="F29">SUMPRODUCT(ISNUMBER(SEARCH('16 Water Heating Costs'!$E$42:$AE$42,'16 Water Heating Costs'!H13)) *'16 Water Heating Costs'!$E$51:$AE$51)</f>
        <v>2685.8285864438622</v>
      </c>
      <c r="G29" s="143" cm="1">
        <f t="array" ref="G29">SUMPRODUCT(ISNUMBER(SEARCH('16 Water Heating Costs'!$E$42:$AE$42,'16 Water Heating Costs'!I13)) *'16 Water Heating Costs'!$E$51:$AE$51)</f>
        <v>1778.2656920958409</v>
      </c>
      <c r="H29" s="150" cm="1">
        <f t="array" ref="H29">SUMPRODUCT(ISNUMBER(SEARCH('16 Water Heating Costs'!$E$42:$AE$42,'16 Water Heating Costs'!J13)) *'16 Water Heating Costs'!$E$51:$AE$51)</f>
        <v>3142.6809750476441</v>
      </c>
      <c r="I29"/>
      <c r="Q29" s="1105"/>
      <c r="R29" s="152" t="s">
        <v>242</v>
      </c>
      <c r="S29" s="143" cm="1">
        <f t="array" ref="S29">SUMPRODUCT(ISNUMBER(SEARCH('16 Water Heating Costs'!$E$42:$AE$42,'16 Water Heating Costs'!N13)) *'16 Water Heating Costs'!$E$51:$AE$51)</f>
        <v>3806.1630887540077</v>
      </c>
      <c r="T29" s="143" cm="1">
        <f t="array" ref="T29">SUMPRODUCT(ISNUMBER(SEARCH('16 Water Heating Costs'!$E$42:$AE$42,'16 Water Heating Costs'!O13)) *'16 Water Heating Costs'!$E$51:$AE$51)</f>
        <v>3349.3107001502258</v>
      </c>
      <c r="U29" s="143" cm="1">
        <f t="array" ref="U29">SUMPRODUCT(ISNUMBER(SEARCH('16 Water Heating Costs'!$E$42:$AE$42,'16 Water Heating Costs'!P13)) *'16 Water Heating Costs'!$E$51:$AE$51)</f>
        <v>3349.3107001502258</v>
      </c>
      <c r="V29" s="143" cm="1">
        <f t="array" ref="V29">SUMPRODUCT(ISNUMBER(SEARCH('16 Water Heating Costs'!$E$42:$AE$42,'16 Water Heating Costs'!Q13)) *'16 Water Heating Costs'!$E$51:$AE$51)</f>
        <v>2441.7478058022043</v>
      </c>
      <c r="W29" s="150" cm="1">
        <f t="array" ref="W29">SUMPRODUCT(ISNUMBER(SEARCH('16 Water Heating Costs'!$E$42:$AE$42,'16 Water Heating Costs'!R13)) *'16 Water Heating Costs'!$E$51:$AE$51)</f>
        <v>3806.1630887540077</v>
      </c>
      <c r="X29"/>
      <c r="AF29" s="1119"/>
      <c r="AG29" s="152" t="s">
        <v>242</v>
      </c>
      <c r="AH29" s="143" cm="1">
        <f t="array" ref="AH29">SUMPRODUCT(ISNUMBER(SEARCH('16 Water Heating Costs'!$E$42:$AE$42,'16 Water Heating Costs'!V13)) *'16 Water Heating Costs'!$E$51:$AE$51)</f>
        <v>2858.5235989157245</v>
      </c>
      <c r="AI29" s="143" cm="1">
        <f t="array" ref="AI29">SUMPRODUCT(ISNUMBER(SEARCH('16 Water Heating Costs'!$E$42:$AE$42,'16 Water Heating Costs'!W13)) *'16 Water Heating Costs'!$E$51:$AE$51)</f>
        <v>2401.6712103119426</v>
      </c>
      <c r="AJ29" s="143" cm="1">
        <f t="array" ref="AJ29">SUMPRODUCT(ISNUMBER(SEARCH('16 Water Heating Costs'!$E$42:$AE$42,'16 Water Heating Costs'!X13)) *'16 Water Heating Costs'!$E$51:$AE$51)</f>
        <v>2401.6712103119426</v>
      </c>
      <c r="AK29" s="143" cm="1">
        <f t="array" ref="AK29">SUMPRODUCT(ISNUMBER(SEARCH('16 Water Heating Costs'!$E$42:$AE$42,'16 Water Heating Costs'!Y13)) *'16 Water Heating Costs'!$E$51:$AE$51)</f>
        <v>1494.1083159639213</v>
      </c>
      <c r="AL29" s="150" cm="1">
        <f t="array" ref="AL29">SUMPRODUCT(ISNUMBER(SEARCH('16 Water Heating Costs'!$E$42:$AE$42,'16 Water Heating Costs'!Z13)) *'16 Water Heating Costs'!$E$51:$AE$51)</f>
        <v>2858.5235989157245</v>
      </c>
      <c r="AM29" s="681"/>
      <c r="AN29" s="681"/>
      <c r="AO29" s="681"/>
      <c r="AP29" s="681"/>
      <c r="AQ29" s="681"/>
    </row>
    <row r="30" spans="1:46" s="5" customFormat="1" ht="199.9" customHeight="1" thickBot="1" x14ac:dyDescent="0.3">
      <c r="B30" s="1106"/>
      <c r="C30" s="153" t="s">
        <v>172</v>
      </c>
      <c r="D30" s="145"/>
      <c r="E30" s="145"/>
      <c r="F30" s="145"/>
      <c r="G30" s="145"/>
      <c r="H30" s="426"/>
      <c r="I30"/>
      <c r="Q30" s="1106"/>
      <c r="R30" s="153" t="s">
        <v>172</v>
      </c>
      <c r="S30" s="145"/>
      <c r="T30" s="145"/>
      <c r="U30" s="145"/>
      <c r="V30" s="145"/>
      <c r="W30" s="426"/>
      <c r="X30"/>
      <c r="AF30" s="1120"/>
      <c r="AG30" s="153" t="s">
        <v>172</v>
      </c>
      <c r="AH30" s="145"/>
      <c r="AI30" s="145"/>
      <c r="AJ30" s="145"/>
      <c r="AK30" s="145"/>
      <c r="AL30" s="426"/>
      <c r="AM30" s="681"/>
      <c r="AN30" s="681"/>
      <c r="AO30" s="681"/>
      <c r="AP30" s="681"/>
      <c r="AQ30" s="681"/>
    </row>
    <row r="31" spans="1:46" s="5" customFormat="1" ht="80.099999999999994" customHeight="1" thickBot="1" x14ac:dyDescent="0.3">
      <c r="B31"/>
      <c r="C31"/>
      <c r="D31"/>
      <c r="E31"/>
      <c r="F31"/>
      <c r="G31"/>
      <c r="H31"/>
      <c r="I31"/>
      <c r="Q31"/>
      <c r="R31"/>
      <c r="S31"/>
      <c r="T31"/>
      <c r="U31"/>
      <c r="V31"/>
      <c r="W31"/>
      <c r="X31"/>
      <c r="AF31"/>
      <c r="AG31"/>
      <c r="AH31"/>
      <c r="AI31"/>
      <c r="AJ31"/>
      <c r="AK31"/>
      <c r="AL31"/>
    </row>
    <row r="32" spans="1:46" s="59" customFormat="1" ht="175.15" customHeight="1" x14ac:dyDescent="0.25">
      <c r="A32" s="154"/>
      <c r="B32" s="1107" t="s">
        <v>1073</v>
      </c>
      <c r="C32" s="1108"/>
      <c r="D32" s="1108"/>
      <c r="E32" s="1108"/>
      <c r="F32" s="1108"/>
      <c r="G32" s="1108"/>
      <c r="H32" s="1109"/>
      <c r="I32"/>
      <c r="J32" s="5"/>
      <c r="K32" s="5"/>
      <c r="L32" s="5"/>
      <c r="M32" s="5"/>
      <c r="N32" s="5"/>
      <c r="O32" s="5"/>
      <c r="P32" s="5"/>
      <c r="Q32" s="1107" t="s">
        <v>1072</v>
      </c>
      <c r="R32" s="1108"/>
      <c r="S32" s="1108"/>
      <c r="T32" s="1108"/>
      <c r="U32" s="1108"/>
      <c r="V32" s="1108"/>
      <c r="W32" s="1109"/>
      <c r="X32"/>
      <c r="Y32" s="5"/>
      <c r="Z32" s="5"/>
      <c r="AA32" s="5"/>
      <c r="AB32" s="5"/>
      <c r="AC32" s="5"/>
      <c r="AD32" s="5"/>
      <c r="AE32" s="5"/>
      <c r="AF32" s="1107" t="s">
        <v>1076</v>
      </c>
      <c r="AG32" s="1108"/>
      <c r="AH32" s="1108"/>
      <c r="AI32" s="1108"/>
      <c r="AJ32" s="1108"/>
      <c r="AK32" s="1108"/>
      <c r="AL32" s="1109"/>
    </row>
    <row r="33" spans="1:38" ht="79.900000000000006" customHeight="1" x14ac:dyDescent="0.25">
      <c r="A33" s="60"/>
      <c r="B33" s="1110" t="s">
        <v>977</v>
      </c>
      <c r="C33" s="1111"/>
      <c r="D33" s="1116" t="s">
        <v>951</v>
      </c>
      <c r="E33" s="1117"/>
      <c r="F33" s="1117"/>
      <c r="G33" s="1117"/>
      <c r="H33" s="1118"/>
      <c r="I33"/>
      <c r="P33" s="5"/>
      <c r="Q33" s="1110" t="s">
        <v>977</v>
      </c>
      <c r="R33" s="1111"/>
      <c r="S33" s="1116" t="s">
        <v>951</v>
      </c>
      <c r="T33" s="1117"/>
      <c r="U33" s="1117"/>
      <c r="V33" s="1117"/>
      <c r="W33" s="1118"/>
      <c r="X33"/>
      <c r="Y33" s="5"/>
      <c r="Z33" s="5"/>
      <c r="AA33" s="5"/>
      <c r="AB33" s="5"/>
      <c r="AC33" s="5"/>
      <c r="AD33" s="5"/>
      <c r="AE33" s="5"/>
      <c r="AF33" s="1110" t="s">
        <v>977</v>
      </c>
      <c r="AG33" s="1111"/>
      <c r="AH33" s="1116" t="s">
        <v>951</v>
      </c>
      <c r="AI33" s="1117"/>
      <c r="AJ33" s="1117"/>
      <c r="AK33" s="1117"/>
      <c r="AL33" s="1118"/>
    </row>
    <row r="34" spans="1:38" ht="79.900000000000006" customHeight="1" x14ac:dyDescent="0.25">
      <c r="A34" s="60"/>
      <c r="B34" s="1112"/>
      <c r="C34" s="1113"/>
      <c r="D34" s="1121" t="s">
        <v>246</v>
      </c>
      <c r="E34" s="1121" t="s">
        <v>244</v>
      </c>
      <c r="F34" s="1121" t="s">
        <v>86</v>
      </c>
      <c r="G34" s="1121" t="s">
        <v>242</v>
      </c>
      <c r="H34" s="1123" t="s">
        <v>172</v>
      </c>
      <c r="I34"/>
      <c r="P34" s="5"/>
      <c r="Q34" s="1112"/>
      <c r="R34" s="1113"/>
      <c r="S34" s="1121" t="s">
        <v>246</v>
      </c>
      <c r="T34" s="1121" t="s">
        <v>244</v>
      </c>
      <c r="U34" s="1121" t="s">
        <v>86</v>
      </c>
      <c r="V34" s="1121" t="s">
        <v>242</v>
      </c>
      <c r="W34" s="1123" t="s">
        <v>172</v>
      </c>
      <c r="X34"/>
      <c r="Y34" s="5"/>
      <c r="Z34" s="5"/>
      <c r="AA34" s="5"/>
      <c r="AB34" s="5"/>
      <c r="AC34" s="5"/>
      <c r="AD34" s="5"/>
      <c r="AE34" s="5"/>
      <c r="AF34" s="1112"/>
      <c r="AG34" s="1113"/>
      <c r="AH34" s="668" t="s">
        <v>246</v>
      </c>
      <c r="AI34" s="668" t="s">
        <v>244</v>
      </c>
      <c r="AJ34" s="668" t="s">
        <v>86</v>
      </c>
      <c r="AK34" s="668" t="s">
        <v>242</v>
      </c>
      <c r="AL34" s="677" t="s">
        <v>172</v>
      </c>
    </row>
    <row r="35" spans="1:38" ht="79.900000000000006" customHeight="1" x14ac:dyDescent="0.25">
      <c r="A35" s="60"/>
      <c r="B35" s="1114"/>
      <c r="C35" s="1115"/>
      <c r="D35" s="1122"/>
      <c r="E35" s="1122"/>
      <c r="F35" s="1122"/>
      <c r="G35" s="1122"/>
      <c r="H35" s="1124"/>
      <c r="I35"/>
      <c r="P35" s="5"/>
      <c r="Q35" s="1114"/>
      <c r="R35" s="1115"/>
      <c r="S35" s="1122"/>
      <c r="T35" s="1122"/>
      <c r="U35" s="1122"/>
      <c r="V35" s="1122"/>
      <c r="W35" s="1124"/>
      <c r="X35"/>
      <c r="Y35" s="5"/>
      <c r="Z35" s="5"/>
      <c r="AA35" s="5"/>
      <c r="AB35" s="5"/>
      <c r="AC35" s="5"/>
      <c r="AD35" s="5"/>
      <c r="AE35" s="5"/>
      <c r="AF35" s="1114"/>
      <c r="AG35" s="1115"/>
      <c r="AH35" s="179"/>
      <c r="AI35" s="179"/>
      <c r="AJ35" s="179"/>
      <c r="AK35" s="179"/>
      <c r="AL35" s="180"/>
    </row>
    <row r="36" spans="1:38" ht="199.9" customHeight="1" x14ac:dyDescent="0.25">
      <c r="A36" s="60"/>
      <c r="B36" s="1104" t="s">
        <v>989</v>
      </c>
      <c r="C36" s="149" t="s">
        <v>246</v>
      </c>
      <c r="D36" s="142"/>
      <c r="E36" s="143" cm="1">
        <f t="array" ref="E36">SUMPRODUCT(ISNUMBER(SEARCH('16 Water Heating Costs'!$E$42:$AE$42,'16 Water Heating Costs'!G22)) *'16 Water Heating Costs'!$E$51:$AE$51)</f>
        <v>976.47284593927793</v>
      </c>
      <c r="F36" s="143" cm="1">
        <f t="array" ref="F36">SUMPRODUCT(ISNUMBER(SEARCH('16 Water Heating Costs'!$E$42:$AE$42,'16 Water Heating Costs'!H22)) *'16 Water Heating Costs'!$E$51:$AE$51)</f>
        <v>976.47284593927793</v>
      </c>
      <c r="G36" s="143" cm="1">
        <f t="array" ref="G36">SUMPRODUCT(ISNUMBER(SEARCH('16 Water Heating Costs'!$E$42:$AE$42,'16 Water Heating Costs'!I22)) *'16 Water Heating Costs'!$E$51:$AE$51)</f>
        <v>976.47284593927793</v>
      </c>
      <c r="H36" s="150" cm="1">
        <f t="array" ref="H36">SUMPRODUCT(ISNUMBER(SEARCH('16 Water Heating Costs'!$E$42:$AE$42,'16 Water Heating Costs'!J22)) *'16 Water Heating Costs'!$E$51:$AE$51)</f>
        <v>784.43969835010193</v>
      </c>
      <c r="I36"/>
      <c r="P36" s="5"/>
      <c r="Q36" s="1104" t="s">
        <v>989</v>
      </c>
      <c r="R36" s="149" t="s">
        <v>246</v>
      </c>
      <c r="S36" s="142"/>
      <c r="T36" s="143" cm="1">
        <f t="array" ref="T36">SUMPRODUCT(ISNUMBER(SEARCH('16 Water Heating Costs'!$E$42:$AE$42,'16 Water Heating Costs'!O22)) *'16 Water Heating Costs'!$E$51:$AE$51)</f>
        <v>976.47284593927793</v>
      </c>
      <c r="U36" s="143" cm="1">
        <f t="array" ref="U36">SUMPRODUCT(ISNUMBER(SEARCH('16 Water Heating Costs'!$E$42:$AE$42,'16 Water Heating Costs'!P22)) *'16 Water Heating Costs'!$E$51:$AE$51)</f>
        <v>976.47284593927793</v>
      </c>
      <c r="V36" s="143" cm="1">
        <f t="array" ref="V36">SUMPRODUCT(ISNUMBER(SEARCH('16 Water Heating Costs'!$E$42:$AE$42,'16 Water Heating Costs'!Q22)) *'16 Water Heating Costs'!$E$51:$AE$51)</f>
        <v>976.47284593927793</v>
      </c>
      <c r="W36" s="150" cm="1">
        <f t="array" ref="W36">SUMPRODUCT(ISNUMBER(SEARCH('16 Water Heating Costs'!$E$42:$AE$42,'16 Water Heating Costs'!R22)) *'16 Water Heating Costs'!$E$51:$AE$51)</f>
        <v>784.43969835010193</v>
      </c>
      <c r="X36"/>
      <c r="Y36" s="5"/>
      <c r="Z36" s="5"/>
      <c r="AA36" s="5"/>
      <c r="AB36" s="5"/>
      <c r="AC36" s="5"/>
      <c r="AD36" s="5"/>
      <c r="AE36" s="5"/>
      <c r="AF36" s="1104" t="s">
        <v>989</v>
      </c>
      <c r="AG36" s="149" t="s">
        <v>246</v>
      </c>
      <c r="AH36" s="142"/>
      <c r="AI36" s="143" cm="1">
        <f t="array" ref="AI36">SUMPRODUCT(ISNUMBER(SEARCH('16 Water Heating Costs'!$E$42:$AE$42,'16 Water Heating Costs'!W22)) *'16 Water Heating Costs'!$E$51:$AE$51)</f>
        <v>976.47284593927793</v>
      </c>
      <c r="AJ36" s="143" cm="1">
        <f t="array" ref="AJ36">SUMPRODUCT(ISNUMBER(SEARCH('16 Water Heating Costs'!$E$42:$AE$42,'16 Water Heating Costs'!X22)) *'16 Water Heating Costs'!$E$51:$AE$51)</f>
        <v>976.47284593927793</v>
      </c>
      <c r="AK36" s="143" cm="1">
        <f t="array" ref="AK36">SUMPRODUCT(ISNUMBER(SEARCH('16 Water Heating Costs'!$E$42:$AE$42,'16 Water Heating Costs'!Y22)) *'16 Water Heating Costs'!$E$51:$AE$51)</f>
        <v>976.47284593927793</v>
      </c>
      <c r="AL36" s="150" cm="1">
        <f t="array" ref="AL36">SUMPRODUCT(ISNUMBER(SEARCH('16 Water Heating Costs'!$E$42:$AE$42,'16 Water Heating Costs'!Z22)) *'16 Water Heating Costs'!$E$51:$AE$51)</f>
        <v>784.43969835010193</v>
      </c>
    </row>
    <row r="37" spans="1:38" ht="199.9" customHeight="1" x14ac:dyDescent="0.25">
      <c r="A37" s="60"/>
      <c r="B37" s="1105"/>
      <c r="C37" s="152" t="s">
        <v>244</v>
      </c>
      <c r="D37" s="143" cm="1">
        <f t="array" ref="D37">SUMPRODUCT(ISNUMBER(SEARCH('16 Water Heating Costs'!$E$42:$AE$42,'16 Water Heating Costs'!F23)) *'16 Water Heating Costs'!$E$51:$AE$51)</f>
        <v>1058.3761670141821</v>
      </c>
      <c r="E37" s="142"/>
      <c r="F37" s="143" cm="1">
        <f t="array" ref="F37">SUMPRODUCT(ISNUMBER(SEARCH('16 Water Heating Costs'!$E$42:$AE$42,'16 Water Heating Costs'!H23)) *'16 Water Heating Costs'!$E$51:$AE$51)</f>
        <v>601.52377841039993</v>
      </c>
      <c r="G37" s="143" cm="1">
        <f t="array" ref="G37">SUMPRODUCT(ISNUMBER(SEARCH('16 Water Heating Costs'!$E$42:$AE$42,'16 Water Heating Costs'!I23)) *'16 Water Heating Costs'!$E$51:$AE$51)</f>
        <v>601.52377841039993</v>
      </c>
      <c r="H37" s="150" cm="1">
        <f t="array" ref="H37">SUMPRODUCT(ISNUMBER(SEARCH('16 Water Heating Costs'!$E$42:$AE$42,'16 Water Heating Costs'!J23)) *'16 Water Heating Costs'!$E$51:$AE$51)</f>
        <v>1058.3761670141821</v>
      </c>
      <c r="I37"/>
      <c r="P37" s="5"/>
      <c r="Q37" s="1105"/>
      <c r="R37" s="152" t="s">
        <v>244</v>
      </c>
      <c r="S37" s="143" cm="1">
        <f t="array" ref="S37">SUMPRODUCT(ISNUMBER(SEARCH('16 Water Heating Costs'!$E$42:$AE$42,'16 Water Heating Costs'!N23)) *'16 Water Heating Costs'!$E$51:$AE$51)</f>
        <v>1058.3761670141821</v>
      </c>
      <c r="T37" s="142"/>
      <c r="U37" s="143" cm="1">
        <f t="array" ref="U37">SUMPRODUCT(ISNUMBER(SEARCH('16 Water Heating Costs'!$E$42:$AE$42,'16 Water Heating Costs'!P23)) *'16 Water Heating Costs'!$E$51:$AE$51)</f>
        <v>601.52377841039993</v>
      </c>
      <c r="V37" s="143" cm="1">
        <f t="array" ref="V37">SUMPRODUCT(ISNUMBER(SEARCH('16 Water Heating Costs'!$E$42:$AE$42,'16 Water Heating Costs'!Q23)) *'16 Water Heating Costs'!$E$51:$AE$51)</f>
        <v>601.52377841039993</v>
      </c>
      <c r="W37" s="150" cm="1">
        <f t="array" ref="W37">SUMPRODUCT(ISNUMBER(SEARCH('16 Water Heating Costs'!$E$42:$AE$42,'16 Water Heating Costs'!R23)) *'16 Water Heating Costs'!$E$51:$AE$51)</f>
        <v>1058.3761670141821</v>
      </c>
      <c r="X37"/>
      <c r="Y37" s="5"/>
      <c r="Z37" s="5"/>
      <c r="AA37" s="5"/>
      <c r="AB37" s="5"/>
      <c r="AC37" s="5"/>
      <c r="AD37" s="5"/>
      <c r="AE37" s="5"/>
      <c r="AF37" s="1119"/>
      <c r="AG37" s="152" t="s">
        <v>244</v>
      </c>
      <c r="AH37" s="143" cm="1">
        <f t="array" ref="AH37">SUMPRODUCT(ISNUMBER(SEARCH('16 Water Heating Costs'!$E$42:$AE$42,'16 Water Heating Costs'!V23)) *'16 Water Heating Costs'!$E$51:$AE$51)</f>
        <v>1058.3761670141821</v>
      </c>
      <c r="AI37" s="142"/>
      <c r="AJ37" s="143" cm="1">
        <f t="array" ref="AJ37">SUMPRODUCT(ISNUMBER(SEARCH('16 Water Heating Costs'!$E$42:$AE$42,'16 Water Heating Costs'!X23)) *'16 Water Heating Costs'!$E$51:$AE$51)</f>
        <v>601.52377841039993</v>
      </c>
      <c r="AK37" s="143" cm="1">
        <f t="array" ref="AK37">SUMPRODUCT(ISNUMBER(SEARCH('16 Water Heating Costs'!$E$42:$AE$42,'16 Water Heating Costs'!Y23)) *'16 Water Heating Costs'!$E$51:$AE$51)</f>
        <v>601.52377841039993</v>
      </c>
      <c r="AL37" s="150" cm="1">
        <f t="array" ref="AL37">SUMPRODUCT(ISNUMBER(SEARCH('16 Water Heating Costs'!$E$42:$AE$42,'16 Water Heating Costs'!Z23)) *'16 Water Heating Costs'!$E$51:$AE$51)</f>
        <v>1058.3761670141821</v>
      </c>
    </row>
    <row r="38" spans="1:38" s="61" customFormat="1" ht="199.9" customHeight="1" x14ac:dyDescent="0.25">
      <c r="A38" s="60"/>
      <c r="B38" s="1105"/>
      <c r="C38" s="152" t="s">
        <v>86</v>
      </c>
      <c r="D38" s="143" cm="1">
        <f t="array" ref="D38">SUMPRODUCT(ISNUMBER(SEARCH('16 Water Heating Costs'!$E$42:$AE$42,'16 Water Heating Costs'!F24)) *'16 Water Heating Costs'!$E$51:$AE$51)</f>
        <v>1547.0390270609278</v>
      </c>
      <c r="E38" s="143" cm="1">
        <f t="array" ref="E38">SUMPRODUCT(ISNUMBER(SEARCH('16 Water Heating Costs'!$E$42:$AE$42,'16 Water Heating Costs'!G24)) *'16 Water Heating Costs'!$E$51:$AE$51)</f>
        <v>1090.1866384571456</v>
      </c>
      <c r="F38" s="142"/>
      <c r="G38" s="143" cm="1">
        <f t="array" ref="G38">SUMPRODUCT(ISNUMBER(SEARCH('16 Water Heating Costs'!$E$42:$AE$42,'16 Water Heating Costs'!I24)) *'16 Water Heating Costs'!$E$51:$AE$51)</f>
        <v>1090.1866384571456</v>
      </c>
      <c r="H38" s="150" cm="1">
        <f t="array" ref="H38">SUMPRODUCT(ISNUMBER(SEARCH('16 Water Heating Costs'!$E$42:$AE$42,'16 Water Heating Costs'!J24)) *'16 Water Heating Costs'!$E$51:$AE$51)</f>
        <v>1547.0390270609278</v>
      </c>
      <c r="I38"/>
      <c r="J38" s="5"/>
      <c r="K38" s="5"/>
      <c r="L38" s="5"/>
      <c r="M38" s="5"/>
      <c r="N38" s="5"/>
      <c r="O38" s="5"/>
      <c r="P38" s="5"/>
      <c r="Q38" s="1105"/>
      <c r="R38" s="152" t="s">
        <v>86</v>
      </c>
      <c r="S38" s="143" cm="1">
        <f t="array" ref="S38">SUMPRODUCT(ISNUMBER(SEARCH('16 Water Heating Costs'!$E$42:$AE$42,'16 Water Heating Costs'!N24)) *'16 Water Heating Costs'!$E$51:$AE$51)</f>
        <v>1695.8018328246862</v>
      </c>
      <c r="T38" s="143" cm="1">
        <f t="array" ref="T38">SUMPRODUCT(ISNUMBER(SEARCH('16 Water Heating Costs'!$E$42:$AE$42,'16 Water Heating Costs'!O24)) *'16 Water Heating Costs'!$E$51:$AE$51)</f>
        <v>1238.9494442209041</v>
      </c>
      <c r="U38" s="142"/>
      <c r="V38" s="143" cm="1">
        <f t="array" ref="V38">SUMPRODUCT(ISNUMBER(SEARCH('16 Water Heating Costs'!$E$42:$AE$42,'16 Water Heating Costs'!Q24)) *'16 Water Heating Costs'!$E$51:$AE$51)</f>
        <v>1238.9494442209041</v>
      </c>
      <c r="W38" s="150" cm="1">
        <f t="array" ref="W38">SUMPRODUCT(ISNUMBER(SEARCH('16 Water Heating Costs'!$E$42:$AE$42,'16 Water Heating Costs'!R24)) *'16 Water Heating Costs'!$E$51:$AE$51)</f>
        <v>1695.8018328246862</v>
      </c>
      <c r="X38"/>
      <c r="Y38" s="5"/>
      <c r="Z38" s="5"/>
      <c r="AA38" s="5"/>
      <c r="AB38" s="5"/>
      <c r="AC38" s="5"/>
      <c r="AD38" s="5"/>
      <c r="AE38" s="5"/>
      <c r="AF38" s="1119"/>
      <c r="AG38" s="152" t="s">
        <v>86</v>
      </c>
      <c r="AH38" s="143" cm="1">
        <f t="array" ref="AH38">SUMPRODUCT(ISNUMBER(SEARCH('16 Water Heating Costs'!$E$42:$AE$42,'16 Water Heating Costs'!V24)) *'16 Water Heating Costs'!$E$51:$AE$51)</f>
        <v>1483.3266108878515</v>
      </c>
      <c r="AI38" s="143" cm="1">
        <f t="array" ref="AI38">SUMPRODUCT(ISNUMBER(SEARCH('16 Water Heating Costs'!$E$42:$AE$42,'16 Water Heating Costs'!W24)) *'16 Water Heating Costs'!$E$51:$AE$51)</f>
        <v>1026.4742222840694</v>
      </c>
      <c r="AJ38" s="142"/>
      <c r="AK38" s="143" cm="1">
        <f t="array" ref="AK38">SUMPRODUCT(ISNUMBER(SEARCH('16 Water Heating Costs'!$E$42:$AE$42,'16 Water Heating Costs'!Y24)) *'16 Water Heating Costs'!$E$51:$AE$51)</f>
        <v>1026.4742222840694</v>
      </c>
      <c r="AL38" s="150" cm="1">
        <f t="array" ref="AL38">SUMPRODUCT(ISNUMBER(SEARCH('16 Water Heating Costs'!$E$42:$AE$42,'16 Water Heating Costs'!Z24)) *'16 Water Heating Costs'!$E$51:$AE$51)</f>
        <v>1483.3266108878515</v>
      </c>
    </row>
    <row r="39" spans="1:38" ht="199.9" customHeight="1" x14ac:dyDescent="0.25">
      <c r="B39" s="1105"/>
      <c r="C39" s="152" t="s">
        <v>242</v>
      </c>
      <c r="D39" s="143" cm="1">
        <f t="array" ref="D39">SUMPRODUCT(ISNUMBER(SEARCH('16 Water Heating Costs'!$E$42:$AE$42,'16 Water Heating Costs'!F25)) *'16 Water Heating Costs'!$E$51:$AE$51)</f>
        <v>1547.0390270609278</v>
      </c>
      <c r="E39" s="143" cm="1">
        <f t="array" ref="E39">SUMPRODUCT(ISNUMBER(SEARCH('16 Water Heating Costs'!$E$42:$AE$42,'16 Water Heating Costs'!G25)) *'16 Water Heating Costs'!$E$51:$AE$51)</f>
        <v>1090.1866384571456</v>
      </c>
      <c r="F39" s="143" cm="1">
        <f t="array" ref="F39">SUMPRODUCT(ISNUMBER(SEARCH('16 Water Heating Costs'!$E$42:$AE$42,'16 Water Heating Costs'!H25)) *'16 Water Heating Costs'!$E$51:$AE$51)</f>
        <v>1090.1866384571456</v>
      </c>
      <c r="G39" s="142"/>
      <c r="H39" s="150" cm="1">
        <f t="array" ref="H39">SUMPRODUCT(ISNUMBER(SEARCH('16 Water Heating Costs'!$E$42:$AE$42,'16 Water Heating Costs'!J25)) *'16 Water Heating Costs'!$E$51:$AE$51)</f>
        <v>1547.0390270609278</v>
      </c>
      <c r="I39"/>
      <c r="P39" s="5"/>
      <c r="Q39" s="1105"/>
      <c r="R39" s="152" t="s">
        <v>242</v>
      </c>
      <c r="S39" s="143" cm="1">
        <f t="array" ref="S39">SUMPRODUCT(ISNUMBER(SEARCH('16 Water Heating Costs'!$E$42:$AE$42,'16 Water Heating Costs'!N25)) *'16 Water Heating Costs'!$E$51:$AE$51)</f>
        <v>1695.8018328246862</v>
      </c>
      <c r="T39" s="143" cm="1">
        <f t="array" ref="T39">SUMPRODUCT(ISNUMBER(SEARCH('16 Water Heating Costs'!$E$42:$AE$42,'16 Water Heating Costs'!O25)) *'16 Water Heating Costs'!$E$51:$AE$51)</f>
        <v>1238.9494442209041</v>
      </c>
      <c r="U39" s="143" cm="1">
        <f t="array" ref="U39">SUMPRODUCT(ISNUMBER(SEARCH('16 Water Heating Costs'!$E$42:$AE$42,'16 Water Heating Costs'!P25)) *'16 Water Heating Costs'!$E$51:$AE$51)</f>
        <v>1238.9494442209041</v>
      </c>
      <c r="V39" s="142"/>
      <c r="W39" s="150" cm="1">
        <f t="array" ref="W39">SUMPRODUCT(ISNUMBER(SEARCH('16 Water Heating Costs'!$E$42:$AE$42,'16 Water Heating Costs'!R25)) *'16 Water Heating Costs'!$E$51:$AE$51)</f>
        <v>1695.8018328246862</v>
      </c>
      <c r="X39"/>
      <c r="Y39" s="5"/>
      <c r="Z39" s="5"/>
      <c r="AA39" s="5"/>
      <c r="AB39" s="5"/>
      <c r="AC39" s="5"/>
      <c r="AD39" s="5"/>
      <c r="AE39" s="5"/>
      <c r="AF39" s="1119"/>
      <c r="AG39" s="152" t="s">
        <v>242</v>
      </c>
      <c r="AH39" s="143" cm="1">
        <f t="array" ref="AH39">SUMPRODUCT(ISNUMBER(SEARCH('16 Water Heating Costs'!$E$42:$AE$42,'16 Water Heating Costs'!V25)) *'16 Water Heating Costs'!$E$51:$AE$51)</f>
        <v>1483.3266108878515</v>
      </c>
      <c r="AI39" s="143" cm="1">
        <f t="array" ref="AI39">SUMPRODUCT(ISNUMBER(SEARCH('16 Water Heating Costs'!$E$42:$AE$42,'16 Water Heating Costs'!W25)) *'16 Water Heating Costs'!$E$51:$AE$51)</f>
        <v>1026.4742222840694</v>
      </c>
      <c r="AJ39" s="143" cm="1">
        <f t="array" ref="AJ39">SUMPRODUCT(ISNUMBER(SEARCH('16 Water Heating Costs'!$E$42:$AE$42,'16 Water Heating Costs'!X25)) *'16 Water Heating Costs'!$E$51:$AE$51)</f>
        <v>1026.4742222840694</v>
      </c>
      <c r="AK39" s="142"/>
      <c r="AL39" s="150" cm="1">
        <f t="array" ref="AL39">SUMPRODUCT(ISNUMBER(SEARCH('16 Water Heating Costs'!$E$42:$AE$42,'16 Water Heating Costs'!Z25)) *'16 Water Heating Costs'!$E$51:$AE$51)</f>
        <v>1483.3266108878515</v>
      </c>
    </row>
    <row r="40" spans="1:38" ht="199.9" customHeight="1" thickBot="1" x14ac:dyDescent="0.3">
      <c r="A40" s="60"/>
      <c r="B40" s="1106"/>
      <c r="C40" s="153" t="s">
        <v>172</v>
      </c>
      <c r="D40" s="354" cm="1">
        <f t="array" ref="D40">SUMPRODUCT(ISNUMBER(SEARCH('16 Water Heating Costs'!$E$42:$AE$42,'16 Water Heating Costs'!F26)) *'16 Water Heating Costs'!$E$51:$AE$51)</f>
        <v>80</v>
      </c>
      <c r="E40" s="354" cm="1">
        <f t="array" ref="E40">SUMPRODUCT(ISNUMBER(SEARCH('16 Water Heating Costs'!$E$42:$AE$42,'16 Water Heating Costs'!G26)) *'16 Water Heating Costs'!$E$51:$AE$51)</f>
        <v>976.47284593927793</v>
      </c>
      <c r="F40" s="354" cm="1">
        <f t="array" ref="F40">SUMPRODUCT(ISNUMBER(SEARCH('16 Water Heating Costs'!$E$42:$AE$42,'16 Water Heating Costs'!H26)) *'16 Water Heating Costs'!$E$51:$AE$51)</f>
        <v>976.47284593927793</v>
      </c>
      <c r="G40" s="354" cm="1">
        <f t="array" ref="G40">SUMPRODUCT(ISNUMBER(SEARCH('16 Water Heating Costs'!$E$42:$AE$42,'16 Water Heating Costs'!I26)) *'16 Water Heating Costs'!$E$51:$AE$51)</f>
        <v>976.47284593927793</v>
      </c>
      <c r="H40" s="426"/>
      <c r="I40"/>
      <c r="P40" s="5"/>
      <c r="Q40" s="1106"/>
      <c r="R40" s="153" t="s">
        <v>172</v>
      </c>
      <c r="S40" s="354" cm="1">
        <f t="array" ref="S40">SUMPRODUCT(ISNUMBER(SEARCH('16 Water Heating Costs'!$E$42:$AE$42,'16 Water Heating Costs'!N26)) *'16 Water Heating Costs'!$E$51:$AE$51)</f>
        <v>80</v>
      </c>
      <c r="T40" s="354" cm="1">
        <f t="array" ref="T40">SUMPRODUCT(ISNUMBER(SEARCH('16 Water Heating Costs'!$E$42:$AE$42,'16 Water Heating Costs'!O26)) *'16 Water Heating Costs'!$E$51:$AE$51)</f>
        <v>976.47284593927793</v>
      </c>
      <c r="U40" s="354" cm="1">
        <f t="array" ref="U40">SUMPRODUCT(ISNUMBER(SEARCH('16 Water Heating Costs'!$E$42:$AE$42,'16 Water Heating Costs'!P26)) *'16 Water Heating Costs'!$E$51:$AE$51)</f>
        <v>976.47284593927793</v>
      </c>
      <c r="V40" s="354" cm="1">
        <f t="array" ref="V40">SUMPRODUCT(ISNUMBER(SEARCH('16 Water Heating Costs'!$E$42:$AE$42,'16 Water Heating Costs'!Q26)) *'16 Water Heating Costs'!$E$51:$AE$51)</f>
        <v>976.47284593927793</v>
      </c>
      <c r="W40" s="426"/>
      <c r="X40"/>
      <c r="Y40" s="5"/>
      <c r="Z40" s="5"/>
      <c r="AA40" s="5"/>
      <c r="AB40" s="5"/>
      <c r="AC40" s="5"/>
      <c r="AD40" s="5"/>
      <c r="AE40" s="5"/>
      <c r="AF40" s="1120"/>
      <c r="AG40" s="153" t="s">
        <v>172</v>
      </c>
      <c r="AH40" s="354" cm="1">
        <f t="array" ref="AH40">SUMPRODUCT(ISNUMBER(SEARCH('16 Water Heating Costs'!$E$42:$AE$42,'16 Water Heating Costs'!V26)) *'16 Water Heating Costs'!$E$51:$AE$51)</f>
        <v>80</v>
      </c>
      <c r="AI40" s="354" cm="1">
        <f t="array" ref="AI40">SUMPRODUCT(ISNUMBER(SEARCH('16 Water Heating Costs'!$E$42:$AE$42,'16 Water Heating Costs'!W26)) *'16 Water Heating Costs'!$E$51:$AE$51)</f>
        <v>976.47284593927793</v>
      </c>
      <c r="AJ40" s="354" cm="1">
        <f t="array" ref="AJ40">SUMPRODUCT(ISNUMBER(SEARCH('16 Water Heating Costs'!$E$42:$AE$42,'16 Water Heating Costs'!X26)) *'16 Water Heating Costs'!$E$51:$AE$51)</f>
        <v>976.47284593927793</v>
      </c>
      <c r="AK40" s="354" cm="1">
        <f t="array" ref="AK40">SUMPRODUCT(ISNUMBER(SEARCH('16 Water Heating Costs'!$E$42:$AE$42,'16 Water Heating Costs'!Y26)) *'16 Water Heating Costs'!$E$51:$AE$51)</f>
        <v>976.47284593927793</v>
      </c>
      <c r="AL40" s="426"/>
    </row>
    <row r="41" spans="1:38" ht="79.900000000000006" customHeight="1" thickBot="1" x14ac:dyDescent="0.3">
      <c r="A41" s="60"/>
      <c r="B41"/>
      <c r="C41"/>
      <c r="D41"/>
      <c r="E41"/>
      <c r="F41"/>
      <c r="G41"/>
      <c r="H41"/>
      <c r="I41"/>
      <c r="P41" s="5"/>
      <c r="Q41"/>
      <c r="R41"/>
      <c r="S41"/>
      <c r="T41"/>
      <c r="U41"/>
      <c r="V41"/>
      <c r="W41"/>
      <c r="X41"/>
      <c r="Y41" s="5"/>
      <c r="Z41" s="5"/>
      <c r="AA41" s="5"/>
      <c r="AB41" s="5"/>
      <c r="AC41" s="5"/>
      <c r="AD41" s="5"/>
      <c r="AE41" s="5"/>
      <c r="AF41"/>
      <c r="AG41"/>
      <c r="AH41"/>
      <c r="AI41"/>
      <c r="AJ41"/>
      <c r="AK41"/>
      <c r="AL41"/>
    </row>
    <row r="42" spans="1:38" ht="210.75" customHeight="1" x14ac:dyDescent="0.25">
      <c r="A42" s="60"/>
      <c r="B42" s="1107" t="s">
        <v>1629</v>
      </c>
      <c r="C42" s="1108"/>
      <c r="D42" s="1108"/>
      <c r="E42" s="1108"/>
      <c r="F42" s="1108"/>
      <c r="G42" s="1108"/>
      <c r="H42" s="1109"/>
      <c r="I42"/>
      <c r="P42" s="5"/>
      <c r="Q42" s="1107" t="s">
        <v>1630</v>
      </c>
      <c r="R42" s="1108"/>
      <c r="S42" s="1108"/>
      <c r="T42" s="1108"/>
      <c r="U42" s="1108"/>
      <c r="V42" s="1108"/>
      <c r="W42" s="1109"/>
      <c r="X42"/>
      <c r="Y42" s="5"/>
      <c r="Z42" s="5"/>
      <c r="AA42" s="5"/>
      <c r="AB42" s="5"/>
      <c r="AC42" s="5"/>
      <c r="AD42" s="5"/>
      <c r="AE42" s="5"/>
      <c r="AF42" s="1107" t="s">
        <v>1631</v>
      </c>
      <c r="AG42" s="1108"/>
      <c r="AH42" s="1108"/>
      <c r="AI42" s="1108"/>
      <c r="AJ42" s="1108"/>
      <c r="AK42" s="1108"/>
      <c r="AL42" s="1109"/>
    </row>
    <row r="43" spans="1:38" ht="79.900000000000006" customHeight="1" x14ac:dyDescent="0.25">
      <c r="A43" s="60"/>
      <c r="B43" s="1110" t="s">
        <v>977</v>
      </c>
      <c r="C43" s="1111"/>
      <c r="D43" s="1116" t="s">
        <v>990</v>
      </c>
      <c r="E43" s="1117"/>
      <c r="F43" s="1117"/>
      <c r="G43" s="1117"/>
      <c r="H43" s="1118"/>
      <c r="I43"/>
      <c r="P43" s="5"/>
      <c r="Q43" s="1110" t="s">
        <v>977</v>
      </c>
      <c r="R43" s="1111"/>
      <c r="S43" s="1116" t="s">
        <v>990</v>
      </c>
      <c r="T43" s="1117"/>
      <c r="U43" s="1117"/>
      <c r="V43" s="1117"/>
      <c r="W43" s="1118"/>
      <c r="X43"/>
      <c r="Y43" s="5"/>
      <c r="Z43" s="5"/>
      <c r="AA43" s="5"/>
      <c r="AB43" s="5"/>
      <c r="AC43" s="5"/>
      <c r="AD43" s="5"/>
      <c r="AE43" s="5"/>
      <c r="AF43" s="1110" t="s">
        <v>977</v>
      </c>
      <c r="AG43" s="1111"/>
      <c r="AH43" s="1116" t="s">
        <v>990</v>
      </c>
      <c r="AI43" s="1117"/>
      <c r="AJ43" s="1117"/>
      <c r="AK43" s="1117"/>
      <c r="AL43" s="1118"/>
    </row>
    <row r="44" spans="1:38" ht="79.900000000000006" customHeight="1" x14ac:dyDescent="0.25">
      <c r="A44" s="60"/>
      <c r="B44" s="1112"/>
      <c r="C44" s="1113"/>
      <c r="D44" s="1121" t="s">
        <v>246</v>
      </c>
      <c r="E44" s="1121" t="s">
        <v>244</v>
      </c>
      <c r="F44" s="1121" t="s">
        <v>86</v>
      </c>
      <c r="G44" s="1121" t="s">
        <v>242</v>
      </c>
      <c r="H44" s="1123" t="s">
        <v>172</v>
      </c>
      <c r="I44"/>
      <c r="P44" s="5"/>
      <c r="Q44" s="1112"/>
      <c r="R44" s="1113"/>
      <c r="S44" s="1121" t="s">
        <v>246</v>
      </c>
      <c r="T44" s="1121" t="s">
        <v>244</v>
      </c>
      <c r="U44" s="1121" t="s">
        <v>86</v>
      </c>
      <c r="V44" s="1121" t="s">
        <v>242</v>
      </c>
      <c r="W44" s="1123" t="s">
        <v>172</v>
      </c>
      <c r="X44"/>
      <c r="Y44" s="5"/>
      <c r="Z44" s="5"/>
      <c r="AA44" s="5"/>
      <c r="AB44" s="5"/>
      <c r="AC44" s="5"/>
      <c r="AD44" s="5"/>
      <c r="AE44" s="5"/>
      <c r="AF44" s="1112"/>
      <c r="AG44" s="1113"/>
      <c r="AH44" s="668" t="s">
        <v>246</v>
      </c>
      <c r="AI44" s="668" t="s">
        <v>244</v>
      </c>
      <c r="AJ44" s="668" t="s">
        <v>86</v>
      </c>
      <c r="AK44" s="668" t="s">
        <v>242</v>
      </c>
      <c r="AL44" s="677" t="s">
        <v>172</v>
      </c>
    </row>
    <row r="45" spans="1:38" ht="79.900000000000006" customHeight="1" x14ac:dyDescent="0.25">
      <c r="A45" s="60"/>
      <c r="B45" s="1114"/>
      <c r="C45" s="1115"/>
      <c r="D45" s="1122"/>
      <c r="E45" s="1122"/>
      <c r="F45" s="1122"/>
      <c r="G45" s="1122"/>
      <c r="H45" s="1124"/>
      <c r="I45"/>
      <c r="P45" s="5"/>
      <c r="Q45" s="1114"/>
      <c r="R45" s="1115"/>
      <c r="S45" s="1122"/>
      <c r="T45" s="1122"/>
      <c r="U45" s="1122"/>
      <c r="V45" s="1122"/>
      <c r="W45" s="1124"/>
      <c r="X45"/>
      <c r="Y45" s="5"/>
      <c r="Z45" s="5"/>
      <c r="AA45" s="5"/>
      <c r="AB45" s="5"/>
      <c r="AC45" s="5"/>
      <c r="AD45" s="5"/>
      <c r="AE45" s="5"/>
      <c r="AF45" s="1114"/>
      <c r="AG45" s="1115"/>
      <c r="AH45" s="179"/>
      <c r="AI45" s="179"/>
      <c r="AJ45" s="179"/>
      <c r="AK45" s="179"/>
      <c r="AL45" s="180"/>
    </row>
    <row r="46" spans="1:38" ht="199.9" customHeight="1" x14ac:dyDescent="0.25">
      <c r="B46" s="1104" t="s">
        <v>952</v>
      </c>
      <c r="C46" s="149" t="s">
        <v>246</v>
      </c>
      <c r="D46" s="142"/>
      <c r="E46" s="143" cm="1">
        <f t="array" ref="E46">SUMPRODUCT(ISNUMBER(SEARCH('16 Water Heating Costs'!$E$42:$AE$42,'16 Water Heating Costs'!G33)) *'16 Water Heating Costs'!$E$51:$AE$51)</f>
        <v>976.47284593927793</v>
      </c>
      <c r="F46" s="143" cm="1">
        <f t="array" ref="F46">SUMPRODUCT(ISNUMBER(SEARCH('16 Water Heating Costs'!$E$42:$AE$42,'16 Water Heating Costs'!H33)) *'16 Water Heating Costs'!$E$51:$AE$51)</f>
        <v>976.47284593927793</v>
      </c>
      <c r="G46" s="143" cm="1">
        <f t="array" ref="G46">SUMPRODUCT(ISNUMBER(SEARCH('16 Water Heating Costs'!$E$42:$AE$42,'16 Water Heating Costs'!I33)) *'16 Water Heating Costs'!$E$51:$AE$51)</f>
        <v>976.47284593927793</v>
      </c>
      <c r="H46" s="150" cm="1">
        <f t="array" ref="H46">SUMPRODUCT(ISNUMBER(SEARCH('16 Water Heating Costs'!$E$42:$AE$42,'16 Water Heating Costs'!J33)) *'16 Water Heating Costs'!$E$51:$AE$51)</f>
        <v>784.43969835010193</v>
      </c>
      <c r="I46"/>
      <c r="P46" s="5"/>
      <c r="Q46" s="1104" t="s">
        <v>952</v>
      </c>
      <c r="R46" s="149" t="s">
        <v>246</v>
      </c>
      <c r="S46" s="142"/>
      <c r="T46" s="143" cm="1">
        <f t="array" ref="T46">SUMPRODUCT(ISNUMBER(SEARCH('16 Water Heating Costs'!$E$42:$AE$42,'16 Water Heating Costs'!O33)) *'16 Water Heating Costs'!$E$51:$AE$51)</f>
        <v>976.47284593927793</v>
      </c>
      <c r="U46" s="143" cm="1">
        <f t="array" ref="U46">SUMPRODUCT(ISNUMBER(SEARCH('16 Water Heating Costs'!$E$42:$AE$42,'16 Water Heating Costs'!P33)) *'16 Water Heating Costs'!$E$51:$AE$51)</f>
        <v>976.47284593927793</v>
      </c>
      <c r="V46" s="143" cm="1">
        <f t="array" ref="V46">SUMPRODUCT(ISNUMBER(SEARCH('16 Water Heating Costs'!$E$42:$AE$42,'16 Water Heating Costs'!Q33)) *'16 Water Heating Costs'!$E$51:$AE$51)</f>
        <v>976.47284593927793</v>
      </c>
      <c r="W46" s="150" cm="1">
        <f t="array" ref="W46">SUMPRODUCT(ISNUMBER(SEARCH('16 Water Heating Costs'!$E$42:$AE$42,'16 Water Heating Costs'!R33)) *'16 Water Heating Costs'!$E$51:$AE$51)</f>
        <v>784.43969835010193</v>
      </c>
      <c r="X46"/>
      <c r="Y46" s="5"/>
      <c r="Z46" s="5"/>
      <c r="AA46" s="5"/>
      <c r="AB46" s="5"/>
      <c r="AC46" s="5"/>
      <c r="AD46" s="5"/>
      <c r="AE46" s="5"/>
      <c r="AF46" s="1104" t="s">
        <v>952</v>
      </c>
      <c r="AG46" s="149" t="s">
        <v>246</v>
      </c>
      <c r="AH46" s="142"/>
      <c r="AI46" s="143" cm="1">
        <f t="array" ref="AI46">SUMPRODUCT(ISNUMBER(SEARCH('16 Water Heating Costs'!$E$42:$AE$42,'16 Water Heating Costs'!W33)) *'16 Water Heating Costs'!$E$51:$AE$51)</f>
        <v>976.47284593927793</v>
      </c>
      <c r="AJ46" s="143" cm="1">
        <f t="array" ref="AJ46">SUMPRODUCT(ISNUMBER(SEARCH('16 Water Heating Costs'!$E$42:$AE$42,'16 Water Heating Costs'!X33)) *'16 Water Heating Costs'!$E$51:$AE$51)</f>
        <v>976.47284593927793</v>
      </c>
      <c r="AK46" s="143" cm="1">
        <f t="array" ref="AK46">SUMPRODUCT(ISNUMBER(SEARCH('16 Water Heating Costs'!$E$42:$AE$42,'16 Water Heating Costs'!Y33)) *'16 Water Heating Costs'!$E$51:$AE$51)</f>
        <v>976.47284593927793</v>
      </c>
      <c r="AL46" s="150" cm="1">
        <f t="array" ref="AL46">SUMPRODUCT(ISNUMBER(SEARCH('16 Water Heating Costs'!$E$42:$AE$42,'16 Water Heating Costs'!Z33)) *'16 Water Heating Costs'!$E$51:$AE$51)</f>
        <v>784.43969835010193</v>
      </c>
    </row>
    <row r="47" spans="1:38" ht="199.9" customHeight="1" x14ac:dyDescent="0.25">
      <c r="B47" s="1105"/>
      <c r="C47" s="152" t="s">
        <v>244</v>
      </c>
      <c r="D47" s="142"/>
      <c r="E47" s="142"/>
      <c r="F47" s="142"/>
      <c r="G47" s="142"/>
      <c r="H47" s="144"/>
      <c r="I47"/>
      <c r="P47" s="5"/>
      <c r="Q47" s="1105"/>
      <c r="R47" s="152" t="s">
        <v>244</v>
      </c>
      <c r="S47" s="142"/>
      <c r="T47" s="142"/>
      <c r="U47" s="142"/>
      <c r="V47" s="142"/>
      <c r="W47" s="144"/>
      <c r="X47"/>
      <c r="Y47" s="5"/>
      <c r="Z47" s="5"/>
      <c r="AA47" s="5"/>
      <c r="AB47" s="5"/>
      <c r="AC47" s="5"/>
      <c r="AD47" s="5"/>
      <c r="AE47" s="5"/>
      <c r="AF47" s="1119"/>
      <c r="AG47" s="152" t="s">
        <v>244</v>
      </c>
      <c r="AH47" s="142"/>
      <c r="AI47" s="142"/>
      <c r="AJ47" s="142"/>
      <c r="AK47" s="142"/>
      <c r="AL47" s="144"/>
    </row>
    <row r="48" spans="1:38" ht="199.9" customHeight="1" x14ac:dyDescent="0.25">
      <c r="B48" s="1105"/>
      <c r="C48" s="152" t="s">
        <v>86</v>
      </c>
      <c r="D48" s="143" cm="1">
        <f t="array" ref="D48">SUMPRODUCT(ISNUMBER(SEARCH('16 Water Heating Costs'!$E$42:$AE$42,'16 Water Heating Costs'!F35)) *'16 Water Heating Costs'!$E$51:$AE$51)</f>
        <v>3142.6809750476441</v>
      </c>
      <c r="E48" s="143" cm="1">
        <f t="array" ref="E48">SUMPRODUCT(ISNUMBER(SEARCH('16 Water Heating Costs'!$E$42:$AE$42,'16 Water Heating Costs'!G35)) *'16 Water Heating Costs'!$E$51:$AE$51)</f>
        <v>1710.808208863793</v>
      </c>
      <c r="F48" s="142"/>
      <c r="G48" s="143" cm="1">
        <f t="array" ref="G48">SUMPRODUCT(ISNUMBER(SEARCH('16 Water Heating Costs'!$E$42:$AE$42,'16 Water Heating Costs'!I35)) *'16 Water Heating Costs'!$E$51:$AE$51)</f>
        <v>2685.8285864438622</v>
      </c>
      <c r="H48" s="150" cm="1">
        <f t="array" ref="H48">SUMPRODUCT(ISNUMBER(SEARCH('16 Water Heating Costs'!$E$42:$AE$42,'16 Water Heating Costs'!J35)) *'16 Water Heating Costs'!$E$51:$AE$51)</f>
        <v>3142.6809750476441</v>
      </c>
      <c r="I48"/>
      <c r="P48" s="5"/>
      <c r="Q48" s="1105"/>
      <c r="R48" s="152" t="s">
        <v>86</v>
      </c>
      <c r="S48" s="143" cm="1">
        <f t="array" ref="S48">SUMPRODUCT(ISNUMBER(SEARCH('16 Water Heating Costs'!$E$42:$AE$42,'16 Water Heating Costs'!N35)) *'16 Water Heating Costs'!$E$51:$AE$51)</f>
        <v>3806.1630887540077</v>
      </c>
      <c r="T48" s="143" cm="1">
        <f t="array" ref="T48">SUMPRODUCT(ISNUMBER(SEARCH('16 Water Heating Costs'!$E$42:$AE$42,'16 Water Heating Costs'!O35)) *'16 Water Heating Costs'!$E$51:$AE$51)</f>
        <v>2374.2903225701566</v>
      </c>
      <c r="U48" s="142"/>
      <c r="V48" s="143" cm="1">
        <f t="array" ref="V48">SUMPRODUCT(ISNUMBER(SEARCH('16 Water Heating Costs'!$E$42:$AE$42,'16 Water Heating Costs'!Q35)) *'16 Water Heating Costs'!$E$51:$AE$51)</f>
        <v>3349.3107001502258</v>
      </c>
      <c r="W48" s="150" cm="1">
        <f t="array" ref="W48">SUMPRODUCT(ISNUMBER(SEARCH('16 Water Heating Costs'!$E$42:$AE$42,'16 Water Heating Costs'!R35)) *'16 Water Heating Costs'!$E$51:$AE$51)</f>
        <v>3806.1630887540077</v>
      </c>
      <c r="X48"/>
      <c r="Y48" s="5"/>
      <c r="Z48" s="5"/>
      <c r="AA48" s="5"/>
      <c r="AB48" s="5"/>
      <c r="AC48" s="5"/>
      <c r="AD48" s="5"/>
      <c r="AE48" s="5"/>
      <c r="AF48" s="1119"/>
      <c r="AG48" s="152" t="s">
        <v>86</v>
      </c>
      <c r="AH48" s="143" cm="1">
        <f t="array" ref="AH48">SUMPRODUCT(ISNUMBER(SEARCH('16 Water Heating Costs'!$E$42:$AE$42,'16 Water Heating Costs'!V35)) *'16 Water Heating Costs'!$E$51:$AE$51)</f>
        <v>2858.5235989157245</v>
      </c>
      <c r="AI48" s="143" cm="1">
        <f t="array" ref="AI48">SUMPRODUCT(ISNUMBER(SEARCH('16 Water Heating Costs'!$E$42:$AE$42,'16 Water Heating Costs'!W35)) *'16 Water Heating Costs'!$E$51:$AE$51)</f>
        <v>2374.2903225701566</v>
      </c>
      <c r="AJ48" s="142"/>
      <c r="AK48" s="143" cm="1">
        <f t="array" ref="AK48">SUMPRODUCT(ISNUMBER(SEARCH('16 Water Heating Costs'!$E$42:$AE$42,'16 Water Heating Costs'!Y35)) *'16 Water Heating Costs'!$E$51:$AE$51)</f>
        <v>2401.6712103119426</v>
      </c>
      <c r="AL48" s="150" cm="1">
        <f t="array" ref="AL48">SUMPRODUCT(ISNUMBER(SEARCH('16 Water Heating Costs'!$E$42:$AE$42,'16 Water Heating Costs'!Z35)) *'16 Water Heating Costs'!$E$51:$AE$51)</f>
        <v>2858.5235989157245</v>
      </c>
    </row>
    <row r="49" spans="2:38" ht="199.9" customHeight="1" x14ac:dyDescent="0.25">
      <c r="B49" s="1105"/>
      <c r="C49" s="152" t="s">
        <v>242</v>
      </c>
      <c r="D49" s="143" cm="1">
        <f t="array" ref="D49">SUMPRODUCT(ISNUMBER(SEARCH('16 Water Heating Costs'!$E$42:$AE$42,'16 Water Heating Costs'!F36)) *'16 Water Heating Costs'!$E$51:$AE$51)</f>
        <v>3142.6809750476441</v>
      </c>
      <c r="E49" s="143" cm="1">
        <f t="array" ref="E49">SUMPRODUCT(ISNUMBER(SEARCH('16 Water Heating Costs'!$E$42:$AE$42,'16 Water Heating Costs'!G36)) *'16 Water Heating Costs'!$E$51:$AE$51)</f>
        <v>2685.8285864438622</v>
      </c>
      <c r="F49" s="143" cm="1">
        <f t="array" ref="F49">SUMPRODUCT(ISNUMBER(SEARCH('16 Water Heating Costs'!$E$42:$AE$42,'16 Water Heating Costs'!H36)) *'16 Water Heating Costs'!$E$51:$AE$51)</f>
        <v>2685.8285864438622</v>
      </c>
      <c r="G49" s="142"/>
      <c r="H49" s="150" cm="1">
        <f t="array" ref="H49">SUMPRODUCT(ISNUMBER(SEARCH('16 Water Heating Costs'!$E$42:$AE$42,'16 Water Heating Costs'!J36)) *'16 Water Heating Costs'!$E$51:$AE$51)</f>
        <v>3142.6809750476441</v>
      </c>
      <c r="I49"/>
      <c r="P49" s="5"/>
      <c r="Q49" s="1105"/>
      <c r="R49" s="152" t="s">
        <v>242</v>
      </c>
      <c r="S49" s="143" cm="1">
        <f t="array" ref="S49">SUMPRODUCT(ISNUMBER(SEARCH('16 Water Heating Costs'!$E$42:$AE$42,'16 Water Heating Costs'!N36)) *'16 Water Heating Costs'!$E$51:$AE$51)</f>
        <v>3806.1630887540077</v>
      </c>
      <c r="T49" s="143" cm="1">
        <f t="array" ref="T49">SUMPRODUCT(ISNUMBER(SEARCH('16 Water Heating Costs'!$E$42:$AE$42,'16 Water Heating Costs'!O36)) *'16 Water Heating Costs'!$E$51:$AE$51)</f>
        <v>3349.3107001502258</v>
      </c>
      <c r="U49" s="143" cm="1">
        <f t="array" ref="U49">SUMPRODUCT(ISNUMBER(SEARCH('16 Water Heating Costs'!$E$42:$AE$42,'16 Water Heating Costs'!P36)) *'16 Water Heating Costs'!$E$51:$AE$51)</f>
        <v>3349.3107001502258</v>
      </c>
      <c r="V49" s="142"/>
      <c r="W49" s="150" cm="1">
        <f t="array" ref="W49">SUMPRODUCT(ISNUMBER(SEARCH('16 Water Heating Costs'!$E$42:$AE$42,'16 Water Heating Costs'!R36)) *'16 Water Heating Costs'!$E$51:$AE$51)</f>
        <v>3806.1630887540077</v>
      </c>
      <c r="X49"/>
      <c r="Y49" s="5"/>
      <c r="Z49" s="5"/>
      <c r="AA49" s="5"/>
      <c r="AB49" s="5"/>
      <c r="AC49" s="5"/>
      <c r="AD49" s="5"/>
      <c r="AE49" s="5"/>
      <c r="AF49" s="1119"/>
      <c r="AG49" s="152" t="s">
        <v>242</v>
      </c>
      <c r="AH49" s="143" cm="1">
        <f t="array" ref="AH49">SUMPRODUCT(ISNUMBER(SEARCH('16 Water Heating Costs'!$E$42:$AE$42,'16 Water Heating Costs'!V36)) *'16 Water Heating Costs'!$E$51:$AE$51)</f>
        <v>2858.5235989157245</v>
      </c>
      <c r="AI49" s="143" cm="1">
        <f t="array" ref="AI49">SUMPRODUCT(ISNUMBER(SEARCH('16 Water Heating Costs'!$E$42:$AE$42,'16 Water Heating Costs'!W36)) *'16 Water Heating Costs'!$E$51:$AE$51)</f>
        <v>2401.6712103119426</v>
      </c>
      <c r="AJ49" s="143" cm="1">
        <f t="array" ref="AJ49">SUMPRODUCT(ISNUMBER(SEARCH('16 Water Heating Costs'!$E$42:$AE$42,'16 Water Heating Costs'!X36)) *'16 Water Heating Costs'!$E$51:$AE$51)</f>
        <v>2401.6712103119426</v>
      </c>
      <c r="AK49" s="142"/>
      <c r="AL49" s="150" cm="1">
        <f t="array" ref="AL49">SUMPRODUCT(ISNUMBER(SEARCH('16 Water Heating Costs'!$E$42:$AE$42,'16 Water Heating Costs'!Z36)) *'16 Water Heating Costs'!$E$51:$AE$51)</f>
        <v>2858.5235989157245</v>
      </c>
    </row>
    <row r="50" spans="2:38" ht="199.9" customHeight="1" thickBot="1" x14ac:dyDescent="0.3">
      <c r="B50" s="1106"/>
      <c r="C50" s="153" t="s">
        <v>172</v>
      </c>
      <c r="D50" s="145"/>
      <c r="E50" s="145"/>
      <c r="F50" s="145"/>
      <c r="G50" s="145"/>
      <c r="H50" s="426"/>
      <c r="I50"/>
      <c r="P50" s="5"/>
      <c r="Q50" s="1106"/>
      <c r="R50" s="153" t="s">
        <v>172</v>
      </c>
      <c r="S50" s="145"/>
      <c r="T50" s="145"/>
      <c r="U50" s="145"/>
      <c r="V50" s="145"/>
      <c r="W50" s="426"/>
      <c r="X50"/>
      <c r="Y50" s="5"/>
      <c r="Z50" s="5"/>
      <c r="AA50" s="5"/>
      <c r="AB50" s="5"/>
      <c r="AC50" s="5"/>
      <c r="AD50" s="5"/>
      <c r="AE50" s="5"/>
      <c r="AF50" s="1120"/>
      <c r="AG50" s="153" t="s">
        <v>172</v>
      </c>
      <c r="AH50" s="145"/>
      <c r="AI50" s="145"/>
      <c r="AJ50" s="145"/>
      <c r="AK50" s="145"/>
      <c r="AL50" s="426"/>
    </row>
    <row r="51" spans="2:38" ht="79.900000000000006" customHeight="1" x14ac:dyDescent="0.25">
      <c r="B51" s="673"/>
      <c r="C51" s="673"/>
      <c r="D51" s="673"/>
      <c r="E51" s="673"/>
      <c r="F51" s="673"/>
      <c r="G51" s="673"/>
      <c r="H51" s="673"/>
      <c r="I51" s="673"/>
      <c r="J51" s="673"/>
      <c r="K51" s="673"/>
      <c r="L51" s="673"/>
      <c r="M51" s="673"/>
      <c r="N51" s="679"/>
      <c r="P51" s="5"/>
      <c r="Q51" s="673"/>
      <c r="R51" s="673"/>
      <c r="S51" s="673"/>
      <c r="T51" s="673"/>
      <c r="U51" s="673"/>
      <c r="V51" s="673"/>
      <c r="W51" s="673"/>
      <c r="X51" s="673"/>
      <c r="Y51" s="673"/>
      <c r="Z51" s="673"/>
      <c r="AA51" s="673"/>
      <c r="AB51" s="673"/>
      <c r="AC51" s="5"/>
      <c r="AD51" s="5"/>
      <c r="AE51" s="5"/>
      <c r="AF51" s="673"/>
      <c r="AG51" s="673"/>
      <c r="AH51" s="673"/>
      <c r="AI51" s="673"/>
      <c r="AJ51" s="673"/>
      <c r="AK51" s="673"/>
      <c r="AL51" s="673"/>
    </row>
    <row r="52" spans="2:38" ht="175.15" customHeight="1" thickBot="1" x14ac:dyDescent="0.3">
      <c r="B52" s="1146" t="s">
        <v>1074</v>
      </c>
      <c r="C52" s="1147"/>
      <c r="D52" s="1147"/>
      <c r="E52" s="1147"/>
      <c r="F52" s="1147"/>
      <c r="G52" s="1148"/>
      <c r="H52" s="364"/>
      <c r="I52" s="183"/>
      <c r="J52" s="155"/>
      <c r="K52" s="155"/>
      <c r="L52" s="155"/>
      <c r="M52" s="155"/>
      <c r="N52" s="682"/>
      <c r="O52" s="151"/>
      <c r="P52" s="59"/>
      <c r="Q52" s="59"/>
      <c r="R52" s="59"/>
      <c r="S52" s="59"/>
      <c r="T52" s="59"/>
      <c r="U52" s="59"/>
      <c r="V52" s="59"/>
      <c r="W52" s="59"/>
      <c r="X52" s="59"/>
      <c r="Y52" s="59"/>
      <c r="Z52" s="59"/>
      <c r="AA52" s="59"/>
      <c r="AB52" s="59"/>
      <c r="AC52" s="59"/>
      <c r="AD52" s="59"/>
      <c r="AE52" s="59"/>
      <c r="AF52" s="59"/>
      <c r="AG52" s="59"/>
      <c r="AH52" s="59"/>
      <c r="AI52" s="59"/>
      <c r="AJ52" s="59"/>
      <c r="AK52" s="59"/>
      <c r="AL52" s="59"/>
    </row>
    <row r="53" spans="2:38" ht="79.900000000000006" customHeight="1" thickBot="1" x14ac:dyDescent="0.3">
      <c r="B53" s="1140" t="s">
        <v>226</v>
      </c>
      <c r="C53" s="1141"/>
      <c r="D53" s="1138" t="s">
        <v>282</v>
      </c>
      <c r="E53" s="1138"/>
      <c r="F53" s="1138"/>
      <c r="G53" s="1139"/>
      <c r="H53" s="183"/>
      <c r="I53" s="146"/>
      <c r="J53" s="146"/>
      <c r="K53" s="146"/>
      <c r="L53" s="146"/>
      <c r="M53" s="156"/>
      <c r="N53" s="72"/>
      <c r="O53" s="57"/>
    </row>
    <row r="54" spans="2:38" ht="199.9" customHeight="1" thickBot="1" x14ac:dyDescent="0.3">
      <c r="B54" s="1140"/>
      <c r="C54" s="1141"/>
      <c r="D54" s="147" t="s">
        <v>246</v>
      </c>
      <c r="E54" s="147" t="s">
        <v>594</v>
      </c>
      <c r="F54" s="147" t="s">
        <v>86</v>
      </c>
      <c r="G54" s="148" t="s">
        <v>242</v>
      </c>
      <c r="H54" s="131"/>
      <c r="I54" s="146"/>
      <c r="J54" s="146"/>
      <c r="K54" s="146"/>
      <c r="L54" s="146"/>
      <c r="M54" s="146"/>
      <c r="N54" s="72"/>
      <c r="O54" s="57"/>
    </row>
    <row r="55" spans="2:38" ht="199.9" customHeight="1" thickBot="1" x14ac:dyDescent="0.3">
      <c r="B55" s="1132" t="s">
        <v>227</v>
      </c>
      <c r="C55" s="147" t="s">
        <v>246</v>
      </c>
      <c r="D55" s="142"/>
      <c r="E55" s="143" cm="1">
        <f t="array" ref="E55">SUMPRODUCT(ISNUMBER(SEARCH('18 Clothes Drying Costs'!$D$16:$N$16,'18 Clothes Drying Costs'!G10)) *'18 Clothes Drying Costs'!$D$25:$N$25)</f>
        <v>705.50331534388874</v>
      </c>
      <c r="F55" s="143" cm="1">
        <f t="array" ref="F55">SUMPRODUCT(ISNUMBER(SEARCH('18 Clothes Drying Costs'!$D$16:$M$16,'18 Clothes Drying Costs'!H10)) *'18 Clothes Drying Costs'!$D$25:$M$25)</f>
        <v>898.3155112316698</v>
      </c>
      <c r="G55" s="150" cm="1">
        <f t="array" ref="G55">SUMPRODUCT(ISNUMBER(SEARCH('18 Clothes Drying Costs'!$D$16:$M$16,'18 Clothes Drying Costs'!I10)) *'18 Clothes Drying Costs'!$D$25:$M$25)</f>
        <v>898.3155112316698</v>
      </c>
      <c r="H55" s="131"/>
      <c r="I55" s="146"/>
      <c r="J55" s="146"/>
      <c r="K55" s="146"/>
      <c r="L55" s="146"/>
      <c r="M55" s="146"/>
      <c r="N55" s="72"/>
      <c r="O55" s="57"/>
    </row>
    <row r="56" spans="2:38" ht="199.9" customHeight="1" thickBot="1" x14ac:dyDescent="0.3">
      <c r="B56" s="1132"/>
      <c r="C56" s="147" t="s">
        <v>594</v>
      </c>
      <c r="D56" s="143" cm="1">
        <f t="array" ref="D56">SUMPRODUCT(ISNUMBER(SEARCH('18 Clothes Drying Costs'!$D$16:$M$16,'18 Clothes Drying Costs'!F11)) *'18 Clothes Drying Costs'!$D$25:$M$25)</f>
        <v>100</v>
      </c>
      <c r="E56" s="142"/>
      <c r="F56" s="143" cm="1">
        <f t="array" ref="F56">SUMPRODUCT(ISNUMBER(SEARCH('18 Clothes Drying Costs'!$D$16:$M$16,'18 Clothes Drying Costs'!H11)) *'18 Clothes Drying Costs'!$D$25:$M$25)</f>
        <v>998.3155112316698</v>
      </c>
      <c r="G56" s="150" cm="1">
        <f t="array" ref="G56">SUMPRODUCT(ISNUMBER(SEARCH('18 Clothes Drying Costs'!$D$16:$M$16,'18 Clothes Drying Costs'!I11)) *'18 Clothes Drying Costs'!$D$25:$M$25)</f>
        <v>1048.3155112316699</v>
      </c>
      <c r="H56" s="131"/>
      <c r="I56" s="146"/>
      <c r="J56" s="146"/>
      <c r="K56" s="146"/>
      <c r="L56" s="146"/>
      <c r="M56" s="146"/>
      <c r="N56" s="72"/>
      <c r="O56" s="57"/>
    </row>
    <row r="57" spans="2:38" ht="199.9" customHeight="1" thickBot="1" x14ac:dyDescent="0.3">
      <c r="B57" s="1132"/>
      <c r="C57" s="147" t="s">
        <v>86</v>
      </c>
      <c r="D57" s="143" cm="1">
        <f t="array" ref="D57">SUMPRODUCT(ISNUMBER(SEARCH('18 Clothes Drying Costs'!$D$16:$M$16,'18 Clothes Drying Costs'!F12)) *'18 Clothes Drying Costs'!$D$25:$M$25)</f>
        <v>1006.4700545153012</v>
      </c>
      <c r="E57" s="143" cm="1">
        <f t="array" ref="E57">SUMPRODUCT(ISNUMBER(SEARCH('18 Clothes Drying Costs'!$D$16:$N$16,'18 Clothes Drying Costs'!G12)) *'18 Clothes Drying Costs'!$D$25:$N$25)</f>
        <v>1661.9733698591899</v>
      </c>
      <c r="F57" s="142"/>
      <c r="G57" s="150" cm="1">
        <f t="array" ref="G57">SUMPRODUCT(ISNUMBER(SEARCH('18 Clothes Drying Costs'!$D$16:$M$16,'18 Clothes Drying Costs'!I12)) *'18 Clothes Drying Costs'!$D$25:$M$25)</f>
        <v>1282.5375607197611</v>
      </c>
      <c r="H57" s="131"/>
      <c r="I57" s="146"/>
      <c r="J57" s="146"/>
      <c r="K57" s="146"/>
      <c r="L57" s="146"/>
      <c r="M57" s="146"/>
      <c r="N57" s="58"/>
      <c r="O57" s="57"/>
    </row>
    <row r="58" spans="2:38" ht="199.9" customHeight="1" thickBot="1" x14ac:dyDescent="0.3">
      <c r="B58" s="1133"/>
      <c r="C58" s="137" t="s">
        <v>242</v>
      </c>
      <c r="D58" s="354" cm="1">
        <f t="array" ref="D58">SUMPRODUCT(ISNUMBER(SEARCH('18 Clothes Drying Costs'!$D$16:$M$16,'18 Clothes Drying Costs'!F13)) *'18 Clothes Drying Costs'!$D$25:$M$25)</f>
        <v>1006.4700545153012</v>
      </c>
      <c r="E58" s="354" cm="1">
        <f t="array" ref="E58">SUMPRODUCT(ISNUMBER(SEARCH('18 Clothes Drying Costs'!$D$16:$N$16,'18 Clothes Drying Costs'!G13)) *'18 Clothes Drying Costs'!$D$25:$N$25)</f>
        <v>1711.9733698591899</v>
      </c>
      <c r="F58" s="354" cm="1">
        <f t="array" ref="F58">SUMPRODUCT(ISNUMBER(SEARCH('18 Clothes Drying Costs'!$D$16:$M$16,'18 Clothes Drying Costs'!H13)) *'18 Clothes Drying Costs'!$D$25:$M$25)</f>
        <v>1178.1028770101193</v>
      </c>
      <c r="G58" s="426"/>
      <c r="H58" s="58"/>
      <c r="I58" s="59"/>
      <c r="J58" s="59"/>
      <c r="K58" s="59"/>
      <c r="L58" s="59"/>
      <c r="M58" s="59"/>
      <c r="N58" s="57"/>
      <c r="O58" s="61"/>
      <c r="P58" s="61"/>
      <c r="Q58" s="61"/>
      <c r="R58" s="61"/>
      <c r="S58" s="61"/>
      <c r="T58" s="61"/>
      <c r="U58" s="61"/>
      <c r="V58" s="61"/>
      <c r="W58" s="61"/>
      <c r="X58" s="61"/>
      <c r="Y58" s="61"/>
      <c r="Z58" s="61"/>
      <c r="AA58" s="61"/>
      <c r="AB58" s="61"/>
      <c r="AC58" s="61"/>
      <c r="AD58" s="61"/>
      <c r="AE58" s="61"/>
      <c r="AF58" s="61"/>
      <c r="AG58" s="61"/>
      <c r="AH58" s="61"/>
      <c r="AI58" s="61"/>
      <c r="AJ58" s="61"/>
      <c r="AK58" s="61"/>
      <c r="AL58" s="61"/>
    </row>
    <row r="59" spans="2:38" ht="79.900000000000006" customHeight="1" thickBot="1" x14ac:dyDescent="0.3">
      <c r="B59" s="133"/>
      <c r="C59" s="157"/>
      <c r="D59" s="157"/>
      <c r="E59" s="157"/>
      <c r="F59" s="157"/>
      <c r="G59" s="157"/>
      <c r="H59" s="59"/>
      <c r="I59" s="57"/>
      <c r="J59" s="57"/>
      <c r="K59" s="57"/>
      <c r="L59" s="57"/>
      <c r="M59" s="57"/>
      <c r="N59" s="57"/>
      <c r="O59" s="57"/>
    </row>
    <row r="60" spans="2:38" ht="175.15" customHeight="1" x14ac:dyDescent="0.25">
      <c r="B60" s="1107" t="s">
        <v>546</v>
      </c>
      <c r="C60" s="1108"/>
      <c r="D60" s="1108"/>
      <c r="E60" s="1108"/>
      <c r="F60" s="1109"/>
      <c r="G60" s="365"/>
      <c r="H60" s="72"/>
      <c r="I60" s="57"/>
      <c r="J60" s="57"/>
      <c r="K60" s="57"/>
      <c r="L60" s="57"/>
      <c r="M60" s="57"/>
      <c r="N60" s="57"/>
      <c r="O60" s="57"/>
    </row>
    <row r="61" spans="2:38" ht="79.900000000000006" customHeight="1" x14ac:dyDescent="0.25">
      <c r="B61" s="1140" t="s">
        <v>287</v>
      </c>
      <c r="C61" s="1141"/>
      <c r="D61" s="1138" t="s">
        <v>282</v>
      </c>
      <c r="E61" s="1138"/>
      <c r="F61" s="1139"/>
      <c r="G61" s="151"/>
      <c r="H61" s="57"/>
      <c r="I61" s="57"/>
      <c r="J61" s="57"/>
      <c r="K61" s="57"/>
      <c r="L61" s="57"/>
      <c r="M61" s="57"/>
      <c r="N61" s="57"/>
      <c r="O61" s="57"/>
    </row>
    <row r="62" spans="2:38" ht="199.9" customHeight="1" x14ac:dyDescent="0.25">
      <c r="B62" s="1140"/>
      <c r="C62" s="1141"/>
      <c r="D62" s="147" t="s">
        <v>246</v>
      </c>
      <c r="E62" s="147" t="s">
        <v>242</v>
      </c>
      <c r="F62" s="148" t="s">
        <v>86</v>
      </c>
      <c r="G62" s="72"/>
      <c r="H62" s="57"/>
      <c r="I62" s="57"/>
      <c r="J62" s="57"/>
      <c r="K62" s="57"/>
      <c r="L62" s="57"/>
      <c r="M62" s="57"/>
      <c r="N62" s="57"/>
      <c r="O62" s="57"/>
    </row>
    <row r="63" spans="2:38" ht="199.9" customHeight="1" x14ac:dyDescent="0.25">
      <c r="B63" s="1132" t="s">
        <v>227</v>
      </c>
      <c r="C63" s="147" t="s">
        <v>246</v>
      </c>
      <c r="D63" s="142"/>
      <c r="E63" s="143" cm="1">
        <f t="array" ref="E63">SUMPRODUCT(ISNUMBER(SEARCH('17 Cooking Costs'!$E$18:$J$18, '17 Cooking Costs'!H12)) *'17 Cooking Costs'!$E$27:$J$27)</f>
        <v>826.39539698057615</v>
      </c>
      <c r="F63" s="150" cm="1">
        <f t="array" ref="F63">SUMPRODUCT(ISNUMBER(SEARCH('17 Cooking Costs'!$E$18:$J$18, '17 Cooking Costs'!I12)) *'17 Cooking Costs'!$E$27:$J$27)</f>
        <v>826.39539698057615</v>
      </c>
      <c r="G63" s="72"/>
      <c r="H63" s="57"/>
      <c r="I63" s="57"/>
      <c r="J63" s="57"/>
      <c r="K63" s="57"/>
      <c r="L63" s="57"/>
      <c r="M63" s="57"/>
      <c r="N63" s="57"/>
      <c r="O63" s="57"/>
    </row>
    <row r="64" spans="2:38" ht="199.9" customHeight="1" x14ac:dyDescent="0.25">
      <c r="B64" s="1132"/>
      <c r="C64" s="147" t="s">
        <v>242</v>
      </c>
      <c r="D64" s="143" cm="1">
        <f t="array" ref="D64">SUMPRODUCT(ISNUMBER(SEARCH('17 Cooking Costs'!$E$18:$J$18, '17 Cooking Costs'!G13)) *'17 Cooking Costs'!$E$27:$J$27)</f>
        <v>1006.4700545153012</v>
      </c>
      <c r="E64" s="142"/>
      <c r="F64" s="150" cm="1">
        <f t="array" ref="F64">SUMPRODUCT(ISNUMBER(SEARCH('17 Cooking Costs'!$E$18:$J$18, '17 Cooking Costs'!I13)) *'17 Cooking Costs'!$E$27:$J$27)</f>
        <v>1158.1382135861927</v>
      </c>
      <c r="G64" s="72"/>
      <c r="H64" s="57"/>
      <c r="I64" s="57"/>
      <c r="J64" s="57"/>
      <c r="K64" s="57"/>
      <c r="L64" s="57"/>
      <c r="M64" s="57"/>
      <c r="N64" s="57"/>
      <c r="O64" s="57"/>
    </row>
    <row r="65" spans="2:15" ht="199.9" customHeight="1" thickBot="1" x14ac:dyDescent="0.3">
      <c r="B65" s="1133"/>
      <c r="C65" s="137" t="s">
        <v>86</v>
      </c>
      <c r="D65" s="354" cm="1">
        <f t="array" ref="D65">SUMPRODUCT(ISNUMBER(SEARCH('17 Cooking Costs'!$E$18:$J$18, '17 Cooking Costs'!G14)) *'17 Cooking Costs'!$E$27:$J$27)</f>
        <v>1006.4700545153012</v>
      </c>
      <c r="E65" s="354" cm="1">
        <f t="array" ref="E65">SUMPRODUCT(ISNUMBER(SEARCH('17 Cooking Costs'!$E$18:$J$18, '17 Cooking Costs'!H14)) *'17 Cooking Costs'!$E$27:$J$27)</f>
        <v>1158.1382135861927</v>
      </c>
      <c r="F65" s="426"/>
      <c r="G65" s="72"/>
      <c r="H65" s="57"/>
      <c r="I65" s="57"/>
      <c r="J65" s="57"/>
      <c r="K65" s="57"/>
      <c r="L65" s="57"/>
      <c r="M65" s="57"/>
      <c r="N65" s="57"/>
      <c r="O65" s="57"/>
    </row>
    <row r="66" spans="2:15" x14ac:dyDescent="0.25">
      <c r="B66" s="151"/>
      <c r="C66" s="59"/>
      <c r="D66" s="59"/>
      <c r="E66" s="59"/>
      <c r="F66" s="59"/>
      <c r="G66" s="59"/>
      <c r="H66" s="57"/>
      <c r="I66" s="57"/>
      <c r="J66" s="57"/>
      <c r="K66" s="57"/>
      <c r="L66" s="57"/>
      <c r="M66" s="57"/>
      <c r="N66" s="57"/>
      <c r="O66" s="57"/>
    </row>
    <row r="67" spans="2:15" x14ac:dyDescent="0.25">
      <c r="C67" s="57"/>
      <c r="D67" s="57"/>
      <c r="E67" s="57"/>
      <c r="F67" s="57"/>
      <c r="G67" s="57"/>
      <c r="H67" s="57"/>
      <c r="I67" s="57"/>
      <c r="J67" s="57"/>
      <c r="K67" s="57"/>
      <c r="L67" s="57"/>
      <c r="M67" s="57"/>
      <c r="N67" s="57"/>
      <c r="O67" s="57"/>
    </row>
    <row r="68" spans="2:15" x14ac:dyDescent="0.25">
      <c r="C68" s="57"/>
      <c r="D68" s="57"/>
      <c r="E68" s="57"/>
      <c r="F68" s="57"/>
      <c r="G68" s="57"/>
      <c r="H68" s="57"/>
      <c r="I68" s="57"/>
      <c r="J68" s="57"/>
      <c r="K68" s="57"/>
      <c r="L68" s="57"/>
      <c r="M68" s="57"/>
      <c r="N68" s="57"/>
      <c r="O68" s="57"/>
    </row>
    <row r="69" spans="2:15" x14ac:dyDescent="0.25">
      <c r="C69" s="57"/>
      <c r="D69" s="57"/>
      <c r="E69" s="57"/>
      <c r="F69" s="57"/>
      <c r="G69" s="57"/>
      <c r="H69" s="57"/>
      <c r="I69" s="57"/>
      <c r="J69" s="57"/>
      <c r="K69" s="57"/>
      <c r="L69" s="57"/>
      <c r="M69" s="57"/>
      <c r="N69" s="57"/>
      <c r="O69" s="57"/>
    </row>
    <row r="70" spans="2:15" x14ac:dyDescent="0.25">
      <c r="C70" s="57"/>
      <c r="D70" s="57"/>
      <c r="E70" s="57"/>
      <c r="F70" s="57"/>
      <c r="G70" s="57"/>
      <c r="H70" s="57"/>
      <c r="I70" s="57"/>
      <c r="J70" s="57"/>
      <c r="K70" s="57"/>
      <c r="L70" s="57"/>
      <c r="M70" s="57"/>
      <c r="N70" s="57"/>
      <c r="O70" s="57"/>
    </row>
    <row r="71" spans="2:15" x14ac:dyDescent="0.25">
      <c r="C71" s="57"/>
      <c r="D71" s="57"/>
      <c r="E71" s="57"/>
      <c r="F71" s="57"/>
      <c r="G71" s="57"/>
      <c r="H71" s="57"/>
      <c r="I71" s="57"/>
      <c r="J71" s="57"/>
      <c r="K71" s="57"/>
      <c r="L71" s="57"/>
      <c r="M71" s="57"/>
      <c r="N71" s="57"/>
      <c r="O71" s="57"/>
    </row>
    <row r="72" spans="2:15" x14ac:dyDescent="0.25">
      <c r="C72" s="57"/>
      <c r="D72" s="57"/>
      <c r="E72" s="57"/>
      <c r="F72" s="57"/>
      <c r="G72" s="57"/>
      <c r="H72" s="57"/>
      <c r="I72" s="57"/>
      <c r="J72" s="57"/>
      <c r="K72" s="57"/>
      <c r="L72" s="57"/>
      <c r="M72" s="57"/>
      <c r="N72" s="57"/>
      <c r="O72" s="57"/>
    </row>
    <row r="73" spans="2:15" x14ac:dyDescent="0.25">
      <c r="C73" s="57"/>
      <c r="D73" s="57"/>
      <c r="E73" s="57"/>
      <c r="F73" s="57"/>
      <c r="G73" s="57"/>
      <c r="H73" s="57"/>
      <c r="I73" s="57"/>
      <c r="J73" s="57"/>
      <c r="K73" s="57"/>
      <c r="L73" s="57"/>
      <c r="M73" s="57"/>
      <c r="N73" s="57"/>
      <c r="O73" s="57"/>
    </row>
  </sheetData>
  <mergeCells count="88">
    <mergeCell ref="B63:B65"/>
    <mergeCell ref="B52:G52"/>
    <mergeCell ref="B53:C54"/>
    <mergeCell ref="D53:G53"/>
    <mergeCell ref="B55:B58"/>
    <mergeCell ref="B60:F60"/>
    <mergeCell ref="B61:C62"/>
    <mergeCell ref="D61:F61"/>
    <mergeCell ref="AH7:AS7"/>
    <mergeCell ref="B9:B20"/>
    <mergeCell ref="Q9:Q20"/>
    <mergeCell ref="AF9:AF20"/>
    <mergeCell ref="B7:C8"/>
    <mergeCell ref="D7:O7"/>
    <mergeCell ref="Q7:R8"/>
    <mergeCell ref="S7:AD7"/>
    <mergeCell ref="AF7:AG8"/>
    <mergeCell ref="L1:L3"/>
    <mergeCell ref="C5:O5"/>
    <mergeCell ref="B6:O6"/>
    <mergeCell ref="Q6:AD6"/>
    <mergeCell ref="AF6:AS6"/>
    <mergeCell ref="B22:H22"/>
    <mergeCell ref="Q22:W22"/>
    <mergeCell ref="AF22:AL22"/>
    <mergeCell ref="D23:H23"/>
    <mergeCell ref="S23:W23"/>
    <mergeCell ref="AH23:AL23"/>
    <mergeCell ref="B23:C25"/>
    <mergeCell ref="Q23:R25"/>
    <mergeCell ref="AF23:AG25"/>
    <mergeCell ref="T24:T25"/>
    <mergeCell ref="U24:U25"/>
    <mergeCell ref="V24:V25"/>
    <mergeCell ref="W24:W25"/>
    <mergeCell ref="B32:H32"/>
    <mergeCell ref="Q32:W32"/>
    <mergeCell ref="AF32:AL32"/>
    <mergeCell ref="D24:D25"/>
    <mergeCell ref="E24:E25"/>
    <mergeCell ref="F24:F25"/>
    <mergeCell ref="G24:G25"/>
    <mergeCell ref="H24:H25"/>
    <mergeCell ref="S24:S25"/>
    <mergeCell ref="B26:B30"/>
    <mergeCell ref="Q26:Q30"/>
    <mergeCell ref="AF26:AF30"/>
    <mergeCell ref="B33:C35"/>
    <mergeCell ref="D33:H33"/>
    <mergeCell ref="Q33:R35"/>
    <mergeCell ref="S33:W33"/>
    <mergeCell ref="AF33:AG35"/>
    <mergeCell ref="AH33:AL33"/>
    <mergeCell ref="D34:D35"/>
    <mergeCell ref="E34:E35"/>
    <mergeCell ref="F34:F35"/>
    <mergeCell ref="G34:G35"/>
    <mergeCell ref="H34:H35"/>
    <mergeCell ref="S34:S35"/>
    <mergeCell ref="T34:T35"/>
    <mergeCell ref="U34:U35"/>
    <mergeCell ref="V34:V35"/>
    <mergeCell ref="W34:W35"/>
    <mergeCell ref="Q43:R45"/>
    <mergeCell ref="S43:W43"/>
    <mergeCell ref="AF43:AG45"/>
    <mergeCell ref="B36:B40"/>
    <mergeCell ref="Q36:Q40"/>
    <mergeCell ref="AF36:AF40"/>
    <mergeCell ref="B42:H42"/>
    <mergeCell ref="Q42:W42"/>
    <mergeCell ref="AF42:AL42"/>
    <mergeCell ref="B46:B50"/>
    <mergeCell ref="Q46:Q50"/>
    <mergeCell ref="AF46:AF50"/>
    <mergeCell ref="AH43:AL43"/>
    <mergeCell ref="D44:D45"/>
    <mergeCell ref="E44:E45"/>
    <mergeCell ref="F44:F45"/>
    <mergeCell ref="G44:G45"/>
    <mergeCell ref="H44:H45"/>
    <mergeCell ref="S44:S45"/>
    <mergeCell ref="T44:T45"/>
    <mergeCell ref="U44:U45"/>
    <mergeCell ref="V44:V45"/>
    <mergeCell ref="W44:W45"/>
    <mergeCell ref="B43:C45"/>
    <mergeCell ref="D43:H43"/>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EBACD-92D9-4B1B-8098-D70000E32D78}">
  <sheetPr>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26.1"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1180</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Costs'!$C$17:$AW$17)</f>
        <v>3922.9033352946826</v>
      </c>
      <c r="G10" s="140" cm="1">
        <f t="array" ref="G10">SUMPRODUCT(ISNUMBER( SEARCH('13 Space Heating Costs'!$C$7:$AW$7,'12 Space Heating Subcomponents'!I12)) *'13 Space Heating Costs'!$C$17:$AW$17)</f>
        <v>5632.726003079325</v>
      </c>
      <c r="H10" s="140" cm="1">
        <f t="array" ref="H10">SUMPRODUCT(ISNUMBER( SEARCH('13 Space Heating Costs'!$C$7:$AW$7,'12 Space Heating Subcomponents'!J12)) *'13 Space Heating Costs'!$C$17:$AW$17)</f>
        <v>7325.8052180256354</v>
      </c>
      <c r="I10" s="140" cm="1">
        <f t="array" ref="I10">SUMPRODUCT(ISNUMBER( SEARCH('13 Space Heating Costs'!$C$7:$AW$7,'12 Space Heating Subcomponents'!K12)) *'13 Space Heating Costs'!$C$17:$AW$17)</f>
        <v>3168.569150433661</v>
      </c>
      <c r="J10" s="140" cm="1">
        <f t="array" ref="J10">SUMPRODUCT(ISNUMBER( SEARCH('13 Space Heating Costs'!$C$7:$AW$7,'12 Space Heating Subcomponents'!L12)) *'13 Space Heating Costs'!$C$17:$AW$17)</f>
        <v>6526.3222540993784</v>
      </c>
      <c r="K10" s="140" cm="1">
        <f t="array" ref="K10">SUMPRODUCT(ISNUMBER( SEARCH('13 Space Heating Costs'!$C$7:$AW$7,'12 Space Heating Subcomponents'!M12)) *'13 Space Heating Costs'!$C$17:$AW$17)</f>
        <v>3665.2057201512453</v>
      </c>
      <c r="L10" s="140" cm="1">
        <f t="array" ref="L10">SUMPRODUCT(ISNUMBER( SEARCH('13 Space Heating Costs'!$C$7:$AW$7,'12 Space Heating Subcomponents'!N12)) *'13 Space Heating Costs'!$C$17:$AW$17)</f>
        <v>7118.8999793305875</v>
      </c>
      <c r="M10" s="140" cm="1">
        <f t="array" ref="M10">SUMPRODUCT(ISNUMBER( SEARCH('13 Space Heating Costs'!$C$7:$AW$7,'12 Space Heating Subcomponents'!O12)) *'13 Space Heating Costs'!$C$17:$AW$17)</f>
        <v>3665.2057201512453</v>
      </c>
      <c r="N10" s="140" cm="1">
        <f t="array" ref="N10">SUMPRODUCT(ISNUMBER( SEARCH('13 Space Heating Costs'!$C$7:$AW$7,'12 Space Heating Subcomponents'!P12)) *'13 Space Heating Costs'!$C$17:$AW$17)</f>
        <v>3606.8618818380382</v>
      </c>
      <c r="O10" s="402" cm="1">
        <f t="array" ref="O10">SUMPRODUCT(ISNUMBER( SEARCH('13 Space Heating Costs'!$C$7:$AW$7,'12 Space Heating Subcomponents'!Q12)) *'13 Space Heating Costs'!$C$17:$AW$17)</f>
        <v>9099.8026608177697</v>
      </c>
      <c r="P10" s="72"/>
      <c r="Q10" s="1105"/>
      <c r="R10" s="181" t="s">
        <v>242</v>
      </c>
      <c r="S10" s="181" t="s">
        <v>243</v>
      </c>
      <c r="T10" s="139"/>
      <c r="U10" s="140" cm="1">
        <f t="array" ref="U10">SUMPRODUCT(ISNUMBER( SEARCH('13 Space Heating Costs'!$C$7:$AW$7,'12 Space Heating Subcomponents'!H28)) *'13 Space Heating Costs'!$C$17:$AW$17)</f>
        <v>4868.0412249319088</v>
      </c>
      <c r="V10" s="140" cm="1">
        <f t="array" ref="V10">SUMPRODUCT(ISNUMBER( SEARCH('13 Space Heating Costs'!$C$7:$AW$7,'12 Space Heating Subcomponents'!I28)) *'13 Space Heating Costs'!$C$17:$AW$17)</f>
        <v>6577.8638927165503</v>
      </c>
      <c r="W10" s="140" cm="1">
        <f t="array" ref="W10">SUMPRODUCT(ISNUMBER( SEARCH('13 Space Heating Costs'!$C$7:$AW$7,'12 Space Heating Subcomponents'!J28)) *'13 Space Heating Costs'!$C$17:$AW$17)</f>
        <v>8270.9431076628607</v>
      </c>
      <c r="X10" s="140" cm="1">
        <f t="array" ref="X10">SUMPRODUCT(ISNUMBER( SEARCH('13 Space Heating Costs'!$C$7:$AW$7,'12 Space Heating Subcomponents'!K28)) *'13 Space Heating Costs'!$C$17:$AW$17)</f>
        <v>4113.7070400708872</v>
      </c>
      <c r="Y10" s="140" cm="1">
        <f t="array" ref="Y10">SUMPRODUCT(ISNUMBER( SEARCH('13 Space Heating Costs'!$C$7:$AW$7,'12 Space Heating Subcomponents'!L28)) *'13 Space Heating Costs'!$C$17:$AW$17)</f>
        <v>7471.4601437366036</v>
      </c>
      <c r="Z10" s="140" cm="1">
        <f t="array" ref="Z10">SUMPRODUCT(ISNUMBER( SEARCH('13 Space Heating Costs'!$C$7:$AW$7,'12 Space Heating Subcomponents'!M28)) *'13 Space Heating Costs'!$C$17:$AW$17)</f>
        <v>4610.3436097884714</v>
      </c>
      <c r="AA10" s="140" cm="1">
        <f t="array" ref="AA10">SUMPRODUCT(ISNUMBER( SEARCH('13 Space Heating Costs'!$C$7:$AW$7,'12 Space Heating Subcomponents'!N28)) *'13 Space Heating Costs'!$C$17:$AW$17)</f>
        <v>8064.0378689678128</v>
      </c>
      <c r="AB10" s="140" cm="1">
        <f t="array" ref="AB10">SUMPRODUCT(ISNUMBER( SEARCH('13 Space Heating Costs'!$C$7:$AW$7,'12 Space Heating Subcomponents'!O28)) *'13 Space Heating Costs'!$C$17:$AW$17)</f>
        <v>4610.3436097884714</v>
      </c>
      <c r="AC10" s="140" cm="1">
        <f t="array" ref="AC10">SUMPRODUCT(ISNUMBER( SEARCH('13 Space Heating Costs'!$C$7:$AW$7,'12 Space Heating Subcomponents'!P28)) *'13 Space Heating Costs'!$C$17:$AW$17)</f>
        <v>4551.9997714752644</v>
      </c>
      <c r="AD10" s="402" cm="1">
        <f t="array" ref="AD10">SUMPRODUCT(ISNUMBER( SEARCH('13 Space Heating Costs'!$C$7:$AW$7,'12 Space Heating Subcomponents'!Q28)) *'13 Space Heating Costs'!$C$17:$AW$17)</f>
        <v>10044.940550454996</v>
      </c>
      <c r="AE10" s="72"/>
      <c r="AF10" s="1105"/>
      <c r="AG10" s="181" t="s">
        <v>242</v>
      </c>
      <c r="AH10" s="181" t="s">
        <v>243</v>
      </c>
      <c r="AI10" s="139"/>
      <c r="AJ10" s="140" cm="1">
        <f t="array" ref="AJ10">SUMPRODUCT(ISNUMBER( SEARCH('13 Space Heating Costs'!$C$7:$AW$7,'12 Space Heating Subcomponents'!H44)) *'13 Space Heating Costs'!$C$17:$AW$17)</f>
        <v>3646.5703842606322</v>
      </c>
      <c r="AK10" s="140" cm="1">
        <f t="array" ref="AK10">SUMPRODUCT(ISNUMBER( SEARCH('13 Space Heating Costs'!$C$7:$AW$7,'12 Space Heating Subcomponents'!I44)) *'13 Space Heating Costs'!$C$17:$AW$17)</f>
        <v>5356.3930520452741</v>
      </c>
      <c r="AL10" s="140" cm="1">
        <f t="array" ref="AL10">SUMPRODUCT(ISNUMBER( SEARCH('13 Space Heating Costs'!$C$7:$AW$7,'12 Space Heating Subcomponents'!J44)) *'13 Space Heating Costs'!$C$17:$AW$17)</f>
        <v>7049.4722669915845</v>
      </c>
      <c r="AM10" s="140" cm="1">
        <f t="array" ref="AM10">SUMPRODUCT(ISNUMBER( SEARCH('13 Space Heating Costs'!$C$7:$AW$7,'12 Space Heating Subcomponents'!K44)) *'13 Space Heating Costs'!$C$17:$AW$17)</f>
        <v>2892.2361993996105</v>
      </c>
      <c r="AN10" s="140" cm="1">
        <f t="array" ref="AN10">SUMPRODUCT(ISNUMBER( SEARCH('13 Space Heating Costs'!$C$7:$AW$7,'12 Space Heating Subcomponents'!L44)) *'13 Space Heating Costs'!$C$17:$AW$17)</f>
        <v>6249.9893030653275</v>
      </c>
      <c r="AO10" s="140" cm="1">
        <f t="array" ref="AO10">SUMPRODUCT(ISNUMBER( SEARCH('13 Space Heating Costs'!$C$7:$AW$7,'12 Space Heating Subcomponents'!M44)) *'13 Space Heating Costs'!$C$17:$AW$17)</f>
        <v>3388.8727691171948</v>
      </c>
      <c r="AP10" s="140" cm="1">
        <f t="array" ref="AP10">SUMPRODUCT(ISNUMBER( SEARCH('13 Space Heating Costs'!$C$7:$AW$7,'12 Space Heating Subcomponents'!N44)) *'13 Space Heating Costs'!$C$17:$AW$17)</f>
        <v>6842.5670282965366</v>
      </c>
      <c r="AQ10" s="140" cm="1">
        <f t="array" ref="AQ10">SUMPRODUCT(ISNUMBER( SEARCH('13 Space Heating Costs'!$C$7:$AW$7,'12 Space Heating Subcomponents'!O44)) *'13 Space Heating Costs'!$C$17:$AW$17)</f>
        <v>3388.8727691171948</v>
      </c>
      <c r="AR10" s="140" cm="1">
        <f t="array" ref="AR10">SUMPRODUCT(ISNUMBER( SEARCH('13 Space Heating Costs'!$C$7:$AW$7,'12 Space Heating Subcomponents'!P44)) *'13 Space Heating Costs'!$C$17:$AW$17)</f>
        <v>3330.5289308039874</v>
      </c>
      <c r="AS10" s="402" cm="1">
        <f t="array" ref="AS10">SUMPRODUCT(ISNUMBER( SEARCH('13 Space Heating Costs'!$C$7:$AW$7,'12 Space Heating Subcomponents'!Q44)) *'13 Space Heating Costs'!$C$17:$AW$17)</f>
        <v>8823.4697097837197</v>
      </c>
      <c r="AT10" s="72"/>
    </row>
    <row r="11" spans="1:46" ht="200.1" customHeight="1" x14ac:dyDescent="0.25">
      <c r="A11" s="60"/>
      <c r="B11" s="1105"/>
      <c r="C11" s="182" t="s">
        <v>244</v>
      </c>
      <c r="D11" s="182" t="s">
        <v>243</v>
      </c>
      <c r="E11" s="139"/>
      <c r="F11" s="139"/>
      <c r="G11" s="139"/>
      <c r="H11" s="139"/>
      <c r="I11" s="139"/>
      <c r="J11" s="139"/>
      <c r="K11" s="139"/>
      <c r="L11" s="139"/>
      <c r="M11" s="139"/>
      <c r="N11" s="139"/>
      <c r="O11" s="141"/>
      <c r="P11" s="72"/>
      <c r="Q11" s="1105"/>
      <c r="R11" s="182" t="s">
        <v>244</v>
      </c>
      <c r="S11" s="182" t="s">
        <v>243</v>
      </c>
      <c r="T11" s="139"/>
      <c r="U11" s="139"/>
      <c r="V11" s="139"/>
      <c r="W11" s="139"/>
      <c r="X11" s="139"/>
      <c r="Y11" s="139"/>
      <c r="Z11" s="139"/>
      <c r="AA11" s="139"/>
      <c r="AB11" s="139"/>
      <c r="AC11" s="139"/>
      <c r="AD11" s="141"/>
      <c r="AE11" s="72"/>
      <c r="AF11" s="1105"/>
      <c r="AG11" s="182" t="s">
        <v>244</v>
      </c>
      <c r="AH11" s="182" t="s">
        <v>243</v>
      </c>
      <c r="AI11" s="139"/>
      <c r="AJ11" s="139"/>
      <c r="AK11" s="139"/>
      <c r="AL11" s="139"/>
      <c r="AM11" s="139"/>
      <c r="AN11" s="139"/>
      <c r="AO11" s="139"/>
      <c r="AP11" s="139"/>
      <c r="AQ11" s="139"/>
      <c r="AR11" s="139"/>
      <c r="AS11" s="141"/>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Costs'!$C$17:$AW$17)</f>
        <v>7437.674778755023</v>
      </c>
      <c r="F12" s="140" cm="1">
        <f t="array" ref="F12">SUMPRODUCT(ISNUMBER( SEARCH('13 Space Heating Costs'!$C$7:$AW$7,'12 Space Heating Subcomponents'!H14)) *'13 Space Heating Costs'!$C$17:$AW$17)</f>
        <v>9124.7341564926337</v>
      </c>
      <c r="G12" s="139"/>
      <c r="H12" s="140" cm="1">
        <f t="array" ref="H12">SUMPRODUCT(ISNUMBER( SEARCH('13 Space Heating Costs'!$C$7:$AW$7,'12 Space Heating Subcomponents'!J14)) *'13 Space Heating Costs'!$C$17:$AW$17)</f>
        <v>3604.452888663398</v>
      </c>
      <c r="I12" s="140" cm="1">
        <f t="array" ref="I12">SUMPRODUCT(ISNUMBER( SEARCH('13 Space Heating Costs'!$C$7:$AW$7,'12 Space Heating Subcomponents'!K14)) *'13 Space Heating Costs'!$C$17:$AW$17)</f>
        <v>7483.8762296640843</v>
      </c>
      <c r="J12" s="140" cm="1">
        <f t="array" ref="J12">SUMPRODUCT(ISNUMBER( SEARCH('13 Space Heating Costs'!$C$7:$AW$7,'12 Space Heating Subcomponents'!L14)) *'13 Space Heating Costs'!$C$17:$AW$17)</f>
        <v>7438.7274505988489</v>
      </c>
      <c r="K12" s="140" cm="1">
        <f t="array" ref="K12">SUMPRODUCT(ISNUMBER( SEARCH('13 Space Heating Costs'!$C$7:$AW$7,'12 Space Heating Subcomponents'!M14)) *'13 Space Heating Costs'!$C$17:$AW$17)</f>
        <v>8867.0365413491982</v>
      </c>
      <c r="L12" s="140" cm="1">
        <f t="array" ref="L12">SUMPRODUCT(ISNUMBER( SEARCH('13 Space Heating Costs'!$C$7:$AW$7,'12 Space Heating Subcomponents'!N14)) *'13 Space Heating Costs'!$C$17:$AW$17)</f>
        <v>8031.305175830058</v>
      </c>
      <c r="M12" s="140" cm="1">
        <f t="array" ref="M12">SUMPRODUCT(ISNUMBER( SEARCH('13 Space Heating Costs'!$C$7:$AW$7,'12 Space Heating Subcomponents'!O14)) *'13 Space Heating Costs'!$C$17:$AW$17)</f>
        <v>8867.0365413491982</v>
      </c>
      <c r="N12" s="140" cm="1">
        <f t="array" ref="N12">SUMPRODUCT(ISNUMBER( SEARCH('13 Space Heating Costs'!$C$7:$AW$7,'12 Space Heating Subcomponents'!P14)) *'13 Space Heating Costs'!$C$17:$AW$17)</f>
        <v>8808.6927030359893</v>
      </c>
      <c r="O12" s="402" cm="1">
        <f t="array" ref="O12">SUMPRODUCT(ISNUMBER( SEARCH('13 Space Heating Costs'!$C$7:$AW$7,'12 Space Heating Subcomponents'!Q14)) *'13 Space Heating Costs'!$C$17:$AW$17)</f>
        <v>13415.109740048192</v>
      </c>
      <c r="P12" s="72"/>
      <c r="Q12" s="1105"/>
      <c r="R12" s="181" t="s">
        <v>242</v>
      </c>
      <c r="S12" s="181" t="s">
        <v>245</v>
      </c>
      <c r="T12" s="140" cm="1">
        <f t="array" ref="T12">SUMPRODUCT(ISNUMBER( SEARCH('13 Space Heating Costs'!$C$7:$AW$7,'12 Space Heating Subcomponents'!G30)) *'13 Space Heating Costs'!$C$17:$AW$17)</f>
        <v>7926.2631150235338</v>
      </c>
      <c r="U12" s="140" cm="1">
        <f t="array" ref="U12">SUMPRODUCT(ISNUMBER( SEARCH('13 Space Heating Costs'!$C$7:$AW$7,'12 Space Heating Subcomponents'!H30)) *'13 Space Heating Costs'!$C$17:$AW$17)</f>
        <v>9613.3224927611445</v>
      </c>
      <c r="V12" s="139"/>
      <c r="W12" s="140" cm="1">
        <f t="array" ref="W12">SUMPRODUCT(ISNUMBER( SEARCH('13 Space Heating Costs'!$C$7:$AW$7,'12 Space Heating Subcomponents'!J30)) *'13 Space Heating Costs'!$C$17:$AW$17)</f>
        <v>4093.0412249319088</v>
      </c>
      <c r="X12" s="140" cm="1">
        <f t="array" ref="X12">SUMPRODUCT(ISNUMBER( SEARCH('13 Space Heating Costs'!$C$7:$AW$7,'12 Space Heating Subcomponents'!K30)) *'13 Space Heating Costs'!$C$17:$AW$17)</f>
        <v>7972.4645659325943</v>
      </c>
      <c r="Y12" s="140" cm="1">
        <f t="array" ref="Y12">SUMPRODUCT(ISNUMBER( SEARCH('13 Space Heating Costs'!$C$7:$AW$7,'12 Space Heating Subcomponents'!L30)) *'13 Space Heating Costs'!$C$17:$AW$17)</f>
        <v>7927.3157868673588</v>
      </c>
      <c r="Z12" s="140" cm="1">
        <f t="array" ref="Z12">SUMPRODUCT(ISNUMBER( SEARCH('13 Space Heating Costs'!$C$7:$AW$7,'12 Space Heating Subcomponents'!M30)) *'13 Space Heating Costs'!$C$17:$AW$17)</f>
        <v>9355.624877617709</v>
      </c>
      <c r="AA12" s="140" cm="1">
        <f t="array" ref="AA12">SUMPRODUCT(ISNUMBER( SEARCH('13 Space Heating Costs'!$C$7:$AW$7,'12 Space Heating Subcomponents'!N30)) *'13 Space Heating Costs'!$C$17:$AW$17)</f>
        <v>8519.893512098568</v>
      </c>
      <c r="AB12" s="140" cm="1">
        <f t="array" ref="AB12">SUMPRODUCT(ISNUMBER( SEARCH('13 Space Heating Costs'!$C$7:$AW$7,'12 Space Heating Subcomponents'!O30)) *'13 Space Heating Costs'!$C$17:$AW$17)</f>
        <v>9355.624877617709</v>
      </c>
      <c r="AC12" s="140" cm="1">
        <f t="array" ref="AC12">SUMPRODUCT(ISNUMBER( SEARCH('13 Space Heating Costs'!$C$7:$AW$7,'12 Space Heating Subcomponents'!P30)) *'13 Space Heating Costs'!$C$17:$AW$17)</f>
        <v>9297.2810393045002</v>
      </c>
      <c r="AD12" s="402" cm="1">
        <f t="array" ref="AD12">SUMPRODUCT(ISNUMBER( SEARCH('13 Space Heating Costs'!$C$7:$AW$7,'12 Space Heating Subcomponents'!Q30)) *'13 Space Heating Costs'!$C$17:$AW$17)</f>
        <v>13903.698076316703</v>
      </c>
      <c r="AE12" s="72"/>
      <c r="AF12" s="1105"/>
      <c r="AG12" s="181" t="s">
        <v>242</v>
      </c>
      <c r="AH12" s="181" t="s">
        <v>245</v>
      </c>
      <c r="AI12" s="140" cm="1">
        <f t="array" ref="AI12">SUMPRODUCT(ISNUMBER( SEARCH('13 Space Heating Costs'!$C$7:$AW$7,'12 Space Heating Subcomponents'!G46)) *'13 Space Heating Costs'!$C$17:$AW$17)</f>
        <v>6704.7922743522568</v>
      </c>
      <c r="AJ12" s="140" cm="1">
        <f t="array" ref="AJ12">SUMPRODUCT(ISNUMBER( SEARCH('13 Space Heating Costs'!$C$7:$AW$7,'12 Space Heating Subcomponents'!H46)) *'13 Space Heating Costs'!$C$17:$AW$17)</f>
        <v>8391.8516520898684</v>
      </c>
      <c r="AK12" s="139"/>
      <c r="AL12" s="140" cm="1">
        <f t="array" ref="AL12">SUMPRODUCT(ISNUMBER( SEARCH('13 Space Heating Costs'!$C$7:$AW$7,'12 Space Heating Subcomponents'!J46)) *'13 Space Heating Costs'!$C$17:$AW$17)</f>
        <v>2871.5703842606322</v>
      </c>
      <c r="AM12" s="140" cm="1">
        <f t="array" ref="AM12">SUMPRODUCT(ISNUMBER( SEARCH('13 Space Heating Costs'!$C$7:$AW$7,'12 Space Heating Subcomponents'!K46)) *'13 Space Heating Costs'!$C$17:$AW$17)</f>
        <v>6750.9937252613181</v>
      </c>
      <c r="AN12" s="140" cm="1">
        <f t="array" ref="AN12">SUMPRODUCT(ISNUMBER( SEARCH('13 Space Heating Costs'!$C$7:$AW$7,'12 Space Heating Subcomponents'!L46)) *'13 Space Heating Costs'!$C$17:$AW$17)</f>
        <v>6705.8449461960827</v>
      </c>
      <c r="AO12" s="140" cm="1">
        <f t="array" ref="AO12">SUMPRODUCT(ISNUMBER( SEARCH('13 Space Heating Costs'!$C$7:$AW$7,'12 Space Heating Subcomponents'!M46)) *'13 Space Heating Costs'!$C$17:$AW$17)</f>
        <v>8134.1540369464319</v>
      </c>
      <c r="AP12" s="140" cm="1">
        <f t="array" ref="AP12">SUMPRODUCT(ISNUMBER( SEARCH('13 Space Heating Costs'!$C$7:$AW$7,'12 Space Heating Subcomponents'!N46)) *'13 Space Heating Costs'!$C$17:$AW$17)</f>
        <v>7298.4226714272918</v>
      </c>
      <c r="AQ12" s="140" cm="1">
        <f t="array" ref="AQ12">SUMPRODUCT(ISNUMBER( SEARCH('13 Space Heating Costs'!$C$7:$AW$7,'12 Space Heating Subcomponents'!O46)) *'13 Space Heating Costs'!$C$17:$AW$17)</f>
        <v>8134.1540369464319</v>
      </c>
      <c r="AR12" s="140" cm="1">
        <f t="array" ref="AR12">SUMPRODUCT(ISNUMBER( SEARCH('13 Space Heating Costs'!$C$7:$AW$7,'12 Space Heating Subcomponents'!P46)) *'13 Space Heating Costs'!$C$17:$AW$17)</f>
        <v>8075.810198633224</v>
      </c>
      <c r="AS12" s="402" cm="1">
        <f t="array" ref="AS12">SUMPRODUCT(ISNUMBER( SEARCH('13 Space Heating Costs'!$C$7:$AW$7,'12 Space Heating Subcomponents'!Q46)) *'13 Space Heating Costs'!$C$17:$AW$17)</f>
        <v>12682.227235645427</v>
      </c>
      <c r="AT12" s="72"/>
    </row>
    <row r="13" spans="1:46" ht="200.1" customHeight="1" x14ac:dyDescent="0.25">
      <c r="A13" s="60"/>
      <c r="B13" s="1105"/>
      <c r="C13" s="182" t="s">
        <v>244</v>
      </c>
      <c r="D13" s="182" t="s">
        <v>245</v>
      </c>
      <c r="E13" s="139"/>
      <c r="F13" s="139"/>
      <c r="G13" s="139"/>
      <c r="H13" s="139"/>
      <c r="I13" s="139"/>
      <c r="J13" s="139"/>
      <c r="K13" s="139"/>
      <c r="L13" s="139"/>
      <c r="M13" s="139"/>
      <c r="N13" s="139"/>
      <c r="O13" s="141"/>
      <c r="P13" s="72"/>
      <c r="Q13" s="1105"/>
      <c r="R13" s="182" t="s">
        <v>244</v>
      </c>
      <c r="S13" s="182" t="s">
        <v>245</v>
      </c>
      <c r="T13" s="139"/>
      <c r="U13" s="139"/>
      <c r="V13" s="139"/>
      <c r="W13" s="139"/>
      <c r="X13" s="139"/>
      <c r="Y13" s="139"/>
      <c r="Z13" s="139"/>
      <c r="AA13" s="139"/>
      <c r="AB13" s="139"/>
      <c r="AC13" s="139"/>
      <c r="AD13" s="141"/>
      <c r="AE13" s="72"/>
      <c r="AF13" s="1105"/>
      <c r="AG13" s="182" t="s">
        <v>244</v>
      </c>
      <c r="AH13" s="182" t="s">
        <v>245</v>
      </c>
      <c r="AI13" s="139"/>
      <c r="AJ13" s="139"/>
      <c r="AK13" s="139"/>
      <c r="AL13" s="139"/>
      <c r="AM13" s="139"/>
      <c r="AN13" s="139"/>
      <c r="AO13" s="139"/>
      <c r="AP13" s="139"/>
      <c r="AQ13" s="139"/>
      <c r="AR13" s="139"/>
      <c r="AS13" s="141"/>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Costs'!$C$17:$AW$17)</f>
        <v>1912.2734426408053</v>
      </c>
      <c r="F14" s="140" cm="1">
        <f t="array" ref="F14">SUMPRODUCT(ISNUMBER( SEARCH('13 Space Heating Costs'!$C$7:$AW$7,'12 Space Heating Subcomponents'!H16)) *'13 Space Heating Costs'!$C$17:$AW$17)</f>
        <v>3102.6962506608329</v>
      </c>
      <c r="G14" s="140" cm="1">
        <f t="array" ref="G14">SUMPRODUCT(ISNUMBER( SEARCH('13 Space Heating Costs'!$C$7:$AW$7,'12 Space Heating Subcomponents'!I16)) *'13 Space Heating Costs'!$C$17:$AW$17)</f>
        <v>5309.15548816306</v>
      </c>
      <c r="H14" s="140" cm="1">
        <f t="array" ref="H14">SUMPRODUCT(ISNUMBER( SEARCH('13 Space Heating Costs'!$C$7:$AW$7,'12 Space Heating Subcomponents'!J16)) *'13 Space Heating Costs'!$C$17:$AW$17)</f>
        <v>6505.5981333917862</v>
      </c>
      <c r="I14" s="139"/>
      <c r="J14" s="140" cm="1">
        <f t="array" ref="J14">SUMPRODUCT(ISNUMBER( SEARCH('13 Space Heating Costs'!$C$7:$AW$7,'12 Space Heating Subcomponents'!L16)) *'13 Space Heating Costs'!$C$17:$AW$17)</f>
        <v>5128.5603719021201</v>
      </c>
      <c r="K14" s="140" cm="1">
        <f t="array" ref="K14">SUMPRODUCT(ISNUMBER( SEARCH('13 Space Heating Costs'!$C$7:$AW$7,'12 Space Heating Subcomponents'!M16)) *'13 Space Heating Costs'!$C$17:$AW$17)</f>
        <v>2267.443837953987</v>
      </c>
      <c r="L14" s="140" cm="1">
        <f t="array" ref="L14">SUMPRODUCT(ISNUMBER( SEARCH('13 Space Heating Costs'!$C$7:$AW$7,'12 Space Heating Subcomponents'!N16)) *'13 Space Heating Costs'!$C$17:$AW$17)</f>
        <v>5721.1380971333292</v>
      </c>
      <c r="M14" s="140" cm="1">
        <f t="array" ref="M14">SUMPRODUCT(ISNUMBER( SEARCH('13 Space Heating Costs'!$C$7:$AW$7,'12 Space Heating Subcomponents'!O16)) *'13 Space Heating Costs'!$C$17:$AW$17)</f>
        <v>2267.443837953987</v>
      </c>
      <c r="N14" s="140" cm="1">
        <f t="array" ref="N14">SUMPRODUCT(ISNUMBER( SEARCH('13 Space Heating Costs'!$C$7:$AW$7,'12 Space Heating Subcomponents'!P16)) *'13 Space Heating Costs'!$C$17:$AW$17)</f>
        <v>2786.6547972041881</v>
      </c>
      <c r="O14" s="402" cm="1">
        <f t="array" ref="O14">SUMPRODUCT(ISNUMBER( SEARCH('13 Space Heating Costs'!$C$7:$AW$7,'12 Space Heating Subcomponents'!Q16)) *'13 Space Heating Costs'!$C$17:$AW$17)</f>
        <v>6986.8286266450486</v>
      </c>
      <c r="P14" s="72"/>
      <c r="Q14" s="1105"/>
      <c r="R14" s="182" t="s">
        <v>246</v>
      </c>
      <c r="S14" s="182" t="s">
        <v>243</v>
      </c>
      <c r="T14" s="140" cm="1">
        <f t="array" ref="T14">SUMPRODUCT(ISNUMBER( SEARCH('13 Space Heating Costs'!$C$7:$AW$7,'12 Space Heating Subcomponents'!G32)) *'13 Space Heating Costs'!$C$17:$AW$17)</f>
        <v>1912.2734426408053</v>
      </c>
      <c r="U14" s="140" cm="1">
        <f t="array" ref="U14">SUMPRODUCT(ISNUMBER( SEARCH('13 Space Heating Costs'!$C$7:$AW$7,'12 Space Heating Subcomponents'!H32)) *'13 Space Heating Costs'!$C$17:$AW$17)</f>
        <v>3102.6962506608329</v>
      </c>
      <c r="V14" s="140" cm="1">
        <f t="array" ref="V14">SUMPRODUCT(ISNUMBER( SEARCH('13 Space Heating Costs'!$C$7:$AW$7,'12 Space Heating Subcomponents'!I32)) *'13 Space Heating Costs'!$C$17:$AW$17)</f>
        <v>5309.15548816306</v>
      </c>
      <c r="W14" s="140" cm="1">
        <f t="array" ref="W14">SUMPRODUCT(ISNUMBER( SEARCH('13 Space Heating Costs'!$C$7:$AW$7,'12 Space Heating Subcomponents'!J32)) *'13 Space Heating Costs'!$C$17:$AW$17)</f>
        <v>6505.5981333917862</v>
      </c>
      <c r="X14" s="139"/>
      <c r="Y14" s="140" cm="1">
        <f t="array" ref="Y14">SUMPRODUCT(ISNUMBER( SEARCH('13 Space Heating Costs'!$C$7:$AW$7,'12 Space Heating Subcomponents'!L32)) *'13 Space Heating Costs'!$C$17:$AW$17)</f>
        <v>5128.5603719021201</v>
      </c>
      <c r="Z14" s="140" cm="1">
        <f t="array" ref="Z14">SUMPRODUCT(ISNUMBER( SEARCH('13 Space Heating Costs'!$C$7:$AW$7,'12 Space Heating Subcomponents'!M32)) *'13 Space Heating Costs'!$C$17:$AW$17)</f>
        <v>2267.443837953987</v>
      </c>
      <c r="AA14" s="140" cm="1">
        <f t="array" ref="AA14">SUMPRODUCT(ISNUMBER( SEARCH('13 Space Heating Costs'!$C$7:$AW$7,'12 Space Heating Subcomponents'!N32)) *'13 Space Heating Costs'!$C$17:$AW$17)</f>
        <v>5721.1380971333292</v>
      </c>
      <c r="AB14" s="140" cm="1">
        <f t="array" ref="AB14">SUMPRODUCT(ISNUMBER( SEARCH('13 Space Heating Costs'!$C$7:$AW$7,'12 Space Heating Subcomponents'!O32)) *'13 Space Heating Costs'!$C$17:$AW$17)</f>
        <v>2267.443837953987</v>
      </c>
      <c r="AC14" s="140" cm="1">
        <f t="array" ref="AC14">SUMPRODUCT(ISNUMBER( SEARCH('13 Space Heating Costs'!$C$7:$AW$7,'12 Space Heating Subcomponents'!P32)) *'13 Space Heating Costs'!$C$17:$AW$17)</f>
        <v>2786.6547972041881</v>
      </c>
      <c r="AD14" s="402" cm="1">
        <f t="array" ref="AD14">SUMPRODUCT(ISNUMBER( SEARCH('13 Space Heating Costs'!$C$7:$AW$7,'12 Space Heating Subcomponents'!Q32)) *'13 Space Heating Costs'!$C$17:$AW$17)</f>
        <v>6986.8286266450486</v>
      </c>
      <c r="AE14" s="72"/>
      <c r="AF14" s="1105"/>
      <c r="AG14" s="182" t="s">
        <v>246</v>
      </c>
      <c r="AH14" s="182" t="s">
        <v>243</v>
      </c>
      <c r="AI14" s="140" cm="1">
        <f t="array" ref="AI14">SUMPRODUCT(ISNUMBER( SEARCH('13 Space Heating Costs'!$C$7:$AW$7,'12 Space Heating Subcomponents'!G48)) *'13 Space Heating Costs'!$C$17:$AW$17)</f>
        <v>1912.2734426408053</v>
      </c>
      <c r="AJ14" s="140" cm="1">
        <f t="array" ref="AJ14">SUMPRODUCT(ISNUMBER( SEARCH('13 Space Heating Costs'!$C$7:$AW$7,'12 Space Heating Subcomponents'!H48)) *'13 Space Heating Costs'!$C$17:$AW$17)</f>
        <v>3102.6962506608329</v>
      </c>
      <c r="AK14" s="140" cm="1">
        <f t="array" ref="AK14">SUMPRODUCT(ISNUMBER( SEARCH('13 Space Heating Costs'!$C$7:$AW$7,'12 Space Heating Subcomponents'!I48)) *'13 Space Heating Costs'!$C$17:$AW$17)</f>
        <v>5309.15548816306</v>
      </c>
      <c r="AL14" s="140" cm="1">
        <f t="array" ref="AL14">SUMPRODUCT(ISNUMBER( SEARCH('13 Space Heating Costs'!$C$7:$AW$7,'12 Space Heating Subcomponents'!J48)) *'13 Space Heating Costs'!$C$17:$AW$17)</f>
        <v>6505.5981333917862</v>
      </c>
      <c r="AM14" s="139"/>
      <c r="AN14" s="140" cm="1">
        <f t="array" ref="AN14">SUMPRODUCT(ISNUMBER( SEARCH('13 Space Heating Costs'!$C$7:$AW$7,'12 Space Heating Subcomponents'!L48)) *'13 Space Heating Costs'!$C$17:$AW$17)</f>
        <v>5128.5603719021201</v>
      </c>
      <c r="AO14" s="140" cm="1">
        <f t="array" ref="AO14">SUMPRODUCT(ISNUMBER( SEARCH('13 Space Heating Costs'!$C$7:$AW$7,'12 Space Heating Subcomponents'!M48)) *'13 Space Heating Costs'!$C$17:$AW$17)</f>
        <v>2267.443837953987</v>
      </c>
      <c r="AP14" s="140" cm="1">
        <f t="array" ref="AP14">SUMPRODUCT(ISNUMBER( SEARCH('13 Space Heating Costs'!$C$7:$AW$7,'12 Space Heating Subcomponents'!N48)) *'13 Space Heating Costs'!$C$17:$AW$17)</f>
        <v>5721.1380971333292</v>
      </c>
      <c r="AQ14" s="140" cm="1">
        <f t="array" ref="AQ14">SUMPRODUCT(ISNUMBER( SEARCH('13 Space Heating Costs'!$C$7:$AW$7,'12 Space Heating Subcomponents'!O48)) *'13 Space Heating Costs'!$C$17:$AW$17)</f>
        <v>2267.443837953987</v>
      </c>
      <c r="AR14" s="140" cm="1">
        <f t="array" ref="AR14">SUMPRODUCT(ISNUMBER( SEARCH('13 Space Heating Costs'!$C$7:$AW$7,'12 Space Heating Subcomponents'!P48)) *'13 Space Heating Costs'!$C$17:$AW$17)</f>
        <v>2786.6547972041881</v>
      </c>
      <c r="AS14" s="402" cm="1">
        <f t="array" ref="AS14">SUMPRODUCT(ISNUMBER( SEARCH('13 Space Heating Costs'!$C$7:$AW$7,'12 Space Heating Subcomponents'!Q48)) *'13 Space Heating Costs'!$C$17:$AW$17)</f>
        <v>6986.8286266450486</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Costs'!$C$17:$AW$17)</f>
        <v>2273.7971846083346</v>
      </c>
      <c r="F15" s="140" cm="1">
        <f t="array" ref="F15">SUMPRODUCT(ISNUMBER( SEARCH('13 Space Heating Costs'!$C$7:$AW$7,'12 Space Heating Subcomponents'!H17)) *'13 Space Heating Costs'!$C$17:$AW$17)</f>
        <v>3464.2199926283624</v>
      </c>
      <c r="G15" s="140" cm="1">
        <f t="array" ref="G15">SUMPRODUCT(ISNUMBER( SEARCH('13 Space Heating Costs'!$C$7:$AW$7,'12 Space Heating Subcomponents'!I17)) *'13 Space Heating Costs'!$C$17:$AW$17)</f>
        <v>1381.2536054321072</v>
      </c>
      <c r="H15" s="140" cm="1">
        <f t="array" ref="H15">SUMPRODUCT(ISNUMBER( SEARCH('13 Space Heating Costs'!$C$7:$AW$7,'12 Space Heating Subcomponents'!J17)) *'13 Space Heating Costs'!$C$17:$AW$17)</f>
        <v>2577.6962506608329</v>
      </c>
      <c r="I15" s="140" cm="1">
        <f t="array" ref="I15">SUMPRODUCT(ISNUMBER( SEARCH('13 Space Heating Costs'!$C$7:$AW$7,'12 Space Heating Subcomponents'!K17)) *'13 Space Heating Costs'!$C$17:$AW$17)</f>
        <v>2132.3310102039322</v>
      </c>
      <c r="J15" s="139"/>
      <c r="K15" s="140" cm="1">
        <f t="array" ref="K15">SUMPRODUCT(ISNUMBER( SEARCH('13 Space Heating Costs'!$C$7:$AW$7,'12 Space Heating Subcomponents'!M17)) *'13 Space Heating Costs'!$C$17:$AW$17)</f>
        <v>2628.9675799215165</v>
      </c>
      <c r="L15" s="140" cm="1">
        <f t="array" ref="L15">SUMPRODUCT(ISNUMBER( SEARCH('13 Space Heating Costs'!$C$7:$AW$7,'12 Space Heating Subcomponents'!N17)) *'13 Space Heating Costs'!$C$17:$AW$17)</f>
        <v>1793.2362144023759</v>
      </c>
      <c r="M15" s="140" cm="1">
        <f t="array" ref="M15">SUMPRODUCT(ISNUMBER( SEARCH('13 Space Heating Costs'!$C$7:$AW$7,'12 Space Heating Subcomponents'!O17)) *'13 Space Heating Costs'!$C$17:$AW$17)</f>
        <v>2628.9675799215165</v>
      </c>
      <c r="N15" s="140" cm="1">
        <f t="array" ref="N15">SUMPRODUCT(ISNUMBER( SEARCH('13 Space Heating Costs'!$C$7:$AW$7,'12 Space Heating Subcomponents'!P17)) *'13 Space Heating Costs'!$C$17:$AW$17)</f>
        <v>3148.1785391717176</v>
      </c>
      <c r="O15" s="402" cm="1">
        <f t="array" ref="O15">SUMPRODUCT(ISNUMBER( SEARCH('13 Space Heating Costs'!$C$7:$AW$7,'12 Space Heating Subcomponents'!Q17)) *'13 Space Heating Costs'!$C$17:$AW$17)</f>
        <v>3774.1388958895586</v>
      </c>
      <c r="P15" s="72"/>
      <c r="Q15" s="1105"/>
      <c r="R15" s="182" t="s">
        <v>246</v>
      </c>
      <c r="S15" s="182" t="s">
        <v>247</v>
      </c>
      <c r="T15" s="140" cm="1">
        <f t="array" ref="T15">SUMPRODUCT(ISNUMBER( SEARCH('13 Space Heating Costs'!$C$7:$AW$7,'12 Space Heating Subcomponents'!G33)) *'13 Space Heating Costs'!$C$17:$AW$17)</f>
        <v>2273.7971846083346</v>
      </c>
      <c r="U15" s="140" cm="1">
        <f t="array" ref="U15">SUMPRODUCT(ISNUMBER( SEARCH('13 Space Heating Costs'!$C$7:$AW$7,'12 Space Heating Subcomponents'!H33)) *'13 Space Heating Costs'!$C$17:$AW$17)</f>
        <v>3464.2199926283624</v>
      </c>
      <c r="V15" s="140" cm="1">
        <f t="array" ref="V15">SUMPRODUCT(ISNUMBER( SEARCH('13 Space Heating Costs'!$C$7:$AW$7,'12 Space Heating Subcomponents'!I33)) *'13 Space Heating Costs'!$C$17:$AW$17)</f>
        <v>1381.2536054321072</v>
      </c>
      <c r="W15" s="140" cm="1">
        <f t="array" ref="W15">SUMPRODUCT(ISNUMBER( SEARCH('13 Space Heating Costs'!$C$7:$AW$7,'12 Space Heating Subcomponents'!J33)) *'13 Space Heating Costs'!$C$17:$AW$17)</f>
        <v>2577.6962506608329</v>
      </c>
      <c r="X15" s="140" cm="1">
        <f t="array" ref="X15">SUMPRODUCT(ISNUMBER( SEARCH('13 Space Heating Costs'!$C$7:$AW$7,'12 Space Heating Subcomponents'!K33)) *'13 Space Heating Costs'!$C$17:$AW$17)</f>
        <v>2132.3310102039322</v>
      </c>
      <c r="Y15" s="139"/>
      <c r="Z15" s="140" cm="1">
        <f t="array" ref="Z15">SUMPRODUCT(ISNUMBER( SEARCH('13 Space Heating Costs'!$C$7:$AW$7,'12 Space Heating Subcomponents'!M33)) *'13 Space Heating Costs'!$C$17:$AW$17)</f>
        <v>2628.9675799215165</v>
      </c>
      <c r="AA15" s="140" cm="1">
        <f t="array" ref="AA15">SUMPRODUCT(ISNUMBER( SEARCH('13 Space Heating Costs'!$C$7:$AW$7,'12 Space Heating Subcomponents'!N33)) *'13 Space Heating Costs'!$C$17:$AW$17)</f>
        <v>1793.2362144023759</v>
      </c>
      <c r="AB15" s="140" cm="1">
        <f t="array" ref="AB15">SUMPRODUCT(ISNUMBER( SEARCH('13 Space Heating Costs'!$C$7:$AW$7,'12 Space Heating Subcomponents'!O33)) *'13 Space Heating Costs'!$C$17:$AW$17)</f>
        <v>2628.9675799215165</v>
      </c>
      <c r="AC15" s="140" cm="1">
        <f t="array" ref="AC15">SUMPRODUCT(ISNUMBER( SEARCH('13 Space Heating Costs'!$C$7:$AW$7,'12 Space Heating Subcomponents'!P33)) *'13 Space Heating Costs'!$C$17:$AW$17)</f>
        <v>3148.1785391717176</v>
      </c>
      <c r="AD15" s="402" cm="1">
        <f t="array" ref="AD15">SUMPRODUCT(ISNUMBER( SEARCH('13 Space Heating Costs'!$C$7:$AW$7,'12 Space Heating Subcomponents'!Q33)) *'13 Space Heating Costs'!$C$17:$AW$17)</f>
        <v>3774.1388958895586</v>
      </c>
      <c r="AE15" s="72"/>
      <c r="AF15" s="1105"/>
      <c r="AG15" s="182" t="s">
        <v>246</v>
      </c>
      <c r="AH15" s="182" t="s">
        <v>247</v>
      </c>
      <c r="AI15" s="140" cm="1">
        <f t="array" ref="AI15">SUMPRODUCT(ISNUMBER( SEARCH('13 Space Heating Costs'!$C$7:$AW$7,'12 Space Heating Subcomponents'!G49)) *'13 Space Heating Costs'!$C$17:$AW$17)</f>
        <v>2273.7971846083346</v>
      </c>
      <c r="AJ15" s="140" cm="1">
        <f t="array" ref="AJ15">SUMPRODUCT(ISNUMBER( SEARCH('13 Space Heating Costs'!$C$7:$AW$7,'12 Space Heating Subcomponents'!H49)) *'13 Space Heating Costs'!$C$17:$AW$17)</f>
        <v>3464.2199926283624</v>
      </c>
      <c r="AK15" s="140" cm="1">
        <f t="array" ref="AK15">SUMPRODUCT(ISNUMBER( SEARCH('13 Space Heating Costs'!$C$7:$AW$7,'12 Space Heating Subcomponents'!I49)) *'13 Space Heating Costs'!$C$17:$AW$17)</f>
        <v>1381.2536054321072</v>
      </c>
      <c r="AL15" s="140" cm="1">
        <f t="array" ref="AL15">SUMPRODUCT(ISNUMBER( SEARCH('13 Space Heating Costs'!$C$7:$AW$7,'12 Space Heating Subcomponents'!J49)) *'13 Space Heating Costs'!$C$17:$AW$17)</f>
        <v>2577.6962506608329</v>
      </c>
      <c r="AM15" s="140" cm="1">
        <f t="array" ref="AM15">SUMPRODUCT(ISNUMBER( SEARCH('13 Space Heating Costs'!$C$7:$AW$7,'12 Space Heating Subcomponents'!K49)) *'13 Space Heating Costs'!$C$17:$AW$17)</f>
        <v>2132.3310102039322</v>
      </c>
      <c r="AN15" s="139"/>
      <c r="AO15" s="140" cm="1">
        <f t="array" ref="AO15">SUMPRODUCT(ISNUMBER( SEARCH('13 Space Heating Costs'!$C$7:$AW$7,'12 Space Heating Subcomponents'!M49)) *'13 Space Heating Costs'!$C$17:$AW$17)</f>
        <v>2628.9675799215165</v>
      </c>
      <c r="AP15" s="140" cm="1">
        <f t="array" ref="AP15">SUMPRODUCT(ISNUMBER( SEARCH('13 Space Heating Costs'!$C$7:$AW$7,'12 Space Heating Subcomponents'!N49)) *'13 Space Heating Costs'!$C$17:$AW$17)</f>
        <v>1793.2362144023759</v>
      </c>
      <c r="AQ15" s="140" cm="1">
        <f t="array" ref="AQ15">SUMPRODUCT(ISNUMBER( SEARCH('13 Space Heating Costs'!$C$7:$AW$7,'12 Space Heating Subcomponents'!O49)) *'13 Space Heating Costs'!$C$17:$AW$17)</f>
        <v>2628.9675799215165</v>
      </c>
      <c r="AR15" s="140" cm="1">
        <f t="array" ref="AR15">SUMPRODUCT(ISNUMBER( SEARCH('13 Space Heating Costs'!$C$7:$AW$7,'12 Space Heating Subcomponents'!P49)) *'13 Space Heating Costs'!$C$17:$AW$17)</f>
        <v>3148.1785391717176</v>
      </c>
      <c r="AS15" s="402" cm="1">
        <f t="array" ref="AS15">SUMPRODUCT(ISNUMBER( SEARCH('13 Space Heating Costs'!$C$7:$AW$7,'12 Space Heating Subcomponents'!Q49)) *'13 Space Heating Costs'!$C$17:$AW$17)</f>
        <v>3774.1388958895586</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Costs'!$C$17:$AW$17)</f>
        <v>1212.2734426408053</v>
      </c>
      <c r="F16" s="140" cm="1">
        <f t="array" ref="F16">SUMPRODUCT(ISNUMBER( SEARCH('13 Space Heating Costs'!$C$7:$AW$7,'12 Space Heating Subcomponents'!H18)) *'13 Space Heating Costs'!$C$17:$AW$17)</f>
        <v>2402.6962506608329</v>
      </c>
      <c r="G16" s="140" cm="1">
        <f t="array" ref="G16">SUMPRODUCT(ISNUMBER( SEARCH('13 Space Heating Costs'!$C$7:$AW$7,'12 Space Heating Subcomponents'!I18)) *'13 Space Heating Costs'!$C$17:$AW$17)</f>
        <v>4609.15548816306</v>
      </c>
      <c r="H16" s="140" cm="1">
        <f t="array" ref="H16">SUMPRODUCT(ISNUMBER( SEARCH('13 Space Heating Costs'!$C$7:$AW$7,'12 Space Heating Subcomponents'!J18)) *'13 Space Heating Costs'!$C$17:$AW$17)</f>
        <v>5805.5981333917862</v>
      </c>
      <c r="I16" s="140" cm="1">
        <f t="array" ref="I16">SUMPRODUCT(ISNUMBER( SEARCH('13 Space Heating Costs'!$C$7:$AW$7,'12 Space Heating Subcomponents'!K18)) *'13 Space Heating Costs'!$C$17:$AW$17)</f>
        <v>1070.8072682364025</v>
      </c>
      <c r="J16" s="140" cm="1">
        <f t="array" ref="J16">SUMPRODUCT(ISNUMBER( SEARCH('13 Space Heating Costs'!$C$7:$AW$7,'12 Space Heating Subcomponents'!L18)) *'13 Space Heating Costs'!$C$17:$AW$17)</f>
        <v>4428.5603719021201</v>
      </c>
      <c r="K16" s="139"/>
      <c r="L16" s="140" cm="1">
        <f t="array" ref="L16">SUMPRODUCT(ISNUMBER( SEARCH('13 Space Heating Costs'!$C$7:$AW$7,'12 Space Heating Subcomponents'!N18)) *'13 Space Heating Costs'!$C$17:$AW$17)</f>
        <v>4305.9259451578655</v>
      </c>
      <c r="M16" s="140" cm="1">
        <f t="array" ref="M16">SUMPRODUCT(ISNUMBER( SEARCH('13 Space Heating Costs'!$C$7:$AW$7,'12 Space Heating Subcomponents'!O18)) *'13 Space Heating Costs'!$C$17:$AW$17)</f>
        <v>852.23168597852396</v>
      </c>
      <c r="N16" s="140" cm="1">
        <f t="array" ref="N16">SUMPRODUCT(ISNUMBER( SEARCH('13 Space Heating Costs'!$C$7:$AW$7,'12 Space Heating Subcomponents'!P18)) *'13 Space Heating Costs'!$C$17:$AW$17)</f>
        <v>2086.6547972041881</v>
      </c>
      <c r="O16" s="402" cm="1">
        <f t="array" ref="O16">SUMPRODUCT(ISNUMBER( SEARCH('13 Space Heating Costs'!$C$7:$AW$7,'12 Space Heating Subcomponents'!Q18)) *'13 Space Heating Costs'!$C$17:$AW$17)</f>
        <v>6286.8286266450486</v>
      </c>
      <c r="P16" s="72"/>
      <c r="Q16" s="1105"/>
      <c r="R16" s="182" t="s">
        <v>246</v>
      </c>
      <c r="S16" s="182" t="s">
        <v>248</v>
      </c>
      <c r="T16" s="140" cm="1">
        <f t="array" ref="T16">SUMPRODUCT(ISNUMBER( SEARCH('13 Space Heating Costs'!$C$7:$AW$7,'12 Space Heating Subcomponents'!G34)) *'13 Space Heating Costs'!$C$17:$AW$17)</f>
        <v>1212.2734426408053</v>
      </c>
      <c r="U16" s="140" cm="1">
        <f t="array" ref="U16">SUMPRODUCT(ISNUMBER( SEARCH('13 Space Heating Costs'!$C$7:$AW$7,'12 Space Heating Subcomponents'!H34)) *'13 Space Heating Costs'!$C$17:$AW$17)</f>
        <v>2402.6962506608329</v>
      </c>
      <c r="V16" s="140" cm="1">
        <f t="array" ref="V16">SUMPRODUCT(ISNUMBER( SEARCH('13 Space Heating Costs'!$C$7:$AW$7,'12 Space Heating Subcomponents'!I34)) *'13 Space Heating Costs'!$C$17:$AW$17)</f>
        <v>4609.15548816306</v>
      </c>
      <c r="W16" s="140" cm="1">
        <f t="array" ref="W16">SUMPRODUCT(ISNUMBER( SEARCH('13 Space Heating Costs'!$C$7:$AW$7,'12 Space Heating Subcomponents'!J34)) *'13 Space Heating Costs'!$C$17:$AW$17)</f>
        <v>5805.5981333917862</v>
      </c>
      <c r="X16" s="140" cm="1">
        <f t="array" ref="X16">SUMPRODUCT(ISNUMBER( SEARCH('13 Space Heating Costs'!$C$7:$AW$7,'12 Space Heating Subcomponents'!K34)) *'13 Space Heating Costs'!$C$17:$AW$17)</f>
        <v>1070.8072682364025</v>
      </c>
      <c r="Y16" s="140" cm="1">
        <f t="array" ref="Y16">SUMPRODUCT(ISNUMBER( SEARCH('13 Space Heating Costs'!$C$7:$AW$7,'12 Space Heating Subcomponents'!L34)) *'13 Space Heating Costs'!$C$17:$AW$17)</f>
        <v>4428.5603719021201</v>
      </c>
      <c r="Z16" s="139"/>
      <c r="AA16" s="140" cm="1">
        <f t="array" ref="AA16">SUMPRODUCT(ISNUMBER( SEARCH('13 Space Heating Costs'!$C$7:$AW$7,'12 Space Heating Subcomponents'!N34)) *'13 Space Heating Costs'!$C$17:$AW$17)</f>
        <v>4305.9259451578655</v>
      </c>
      <c r="AB16" s="140" cm="1">
        <f t="array" ref="AB16">SUMPRODUCT(ISNUMBER( SEARCH('13 Space Heating Costs'!$C$7:$AW$7,'12 Space Heating Subcomponents'!O34)) *'13 Space Heating Costs'!$C$17:$AW$17)</f>
        <v>852.23168597852396</v>
      </c>
      <c r="AC16" s="140" cm="1">
        <f t="array" ref="AC16">SUMPRODUCT(ISNUMBER( SEARCH('13 Space Heating Costs'!$C$7:$AW$7,'12 Space Heating Subcomponents'!P34)) *'13 Space Heating Costs'!$C$17:$AW$17)</f>
        <v>2086.6547972041881</v>
      </c>
      <c r="AD16" s="402" cm="1">
        <f t="array" ref="AD16">SUMPRODUCT(ISNUMBER( SEARCH('13 Space Heating Costs'!$C$7:$AW$7,'12 Space Heating Subcomponents'!Q34)) *'13 Space Heating Costs'!$C$17:$AW$17)</f>
        <v>6286.8286266450486</v>
      </c>
      <c r="AE16" s="72"/>
      <c r="AF16" s="1105"/>
      <c r="AG16" s="182" t="s">
        <v>246</v>
      </c>
      <c r="AH16" s="182" t="s">
        <v>248</v>
      </c>
      <c r="AI16" s="140" cm="1">
        <f t="array" ref="AI16">SUMPRODUCT(ISNUMBER( SEARCH('13 Space Heating Costs'!$C$7:$AW$7,'12 Space Heating Subcomponents'!G50)) *'13 Space Heating Costs'!$C$17:$AW$17)</f>
        <v>1212.2734426408053</v>
      </c>
      <c r="AJ16" s="140" cm="1">
        <f t="array" ref="AJ16">SUMPRODUCT(ISNUMBER( SEARCH('13 Space Heating Costs'!$C$7:$AW$7,'12 Space Heating Subcomponents'!H50)) *'13 Space Heating Costs'!$C$17:$AW$17)</f>
        <v>2402.6962506608329</v>
      </c>
      <c r="AK16" s="140" cm="1">
        <f t="array" ref="AK16">SUMPRODUCT(ISNUMBER( SEARCH('13 Space Heating Costs'!$C$7:$AW$7,'12 Space Heating Subcomponents'!I50)) *'13 Space Heating Costs'!$C$17:$AW$17)</f>
        <v>4609.15548816306</v>
      </c>
      <c r="AL16" s="140" cm="1">
        <f t="array" ref="AL16">SUMPRODUCT(ISNUMBER( SEARCH('13 Space Heating Costs'!$C$7:$AW$7,'12 Space Heating Subcomponents'!J50)) *'13 Space Heating Costs'!$C$17:$AW$17)</f>
        <v>5805.5981333917862</v>
      </c>
      <c r="AM16" s="140" cm="1">
        <f t="array" ref="AM16">SUMPRODUCT(ISNUMBER( SEARCH('13 Space Heating Costs'!$C$7:$AW$7,'12 Space Heating Subcomponents'!K50)) *'13 Space Heating Costs'!$C$17:$AW$17)</f>
        <v>1070.8072682364025</v>
      </c>
      <c r="AN16" s="140" cm="1">
        <f t="array" ref="AN16">SUMPRODUCT(ISNUMBER( SEARCH('13 Space Heating Costs'!$C$7:$AW$7,'12 Space Heating Subcomponents'!L50)) *'13 Space Heating Costs'!$C$17:$AW$17)</f>
        <v>4428.5603719021201</v>
      </c>
      <c r="AO16" s="139"/>
      <c r="AP16" s="140" cm="1">
        <f t="array" ref="AP16">SUMPRODUCT(ISNUMBER( SEARCH('13 Space Heating Costs'!$C$7:$AW$7,'12 Space Heating Subcomponents'!N50)) *'13 Space Heating Costs'!$C$17:$AW$17)</f>
        <v>4305.9259451578655</v>
      </c>
      <c r="AQ16" s="140" cm="1">
        <f t="array" ref="AQ16">SUMPRODUCT(ISNUMBER( SEARCH('13 Space Heating Costs'!$C$7:$AW$7,'12 Space Heating Subcomponents'!O50)) *'13 Space Heating Costs'!$C$17:$AW$17)</f>
        <v>852.23168597852396</v>
      </c>
      <c r="AR16" s="140" cm="1">
        <f t="array" ref="AR16">SUMPRODUCT(ISNUMBER( SEARCH('13 Space Heating Costs'!$C$7:$AW$7,'12 Space Heating Subcomponents'!P50)) *'13 Space Heating Costs'!$C$17:$AW$17)</f>
        <v>2086.6547972041881</v>
      </c>
      <c r="AS16" s="402" cm="1">
        <f t="array" ref="AS16">SUMPRODUCT(ISNUMBER( SEARCH('13 Space Heating Costs'!$C$7:$AW$7,'12 Space Heating Subcomponents'!Q50)) *'13 Space Heating Costs'!$C$17:$AW$17)</f>
        <v>6286.8286266450486</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Costs'!$C$17:$AW$17)</f>
        <v>3934.8575656136536</v>
      </c>
      <c r="F17" s="140" cm="1">
        <f t="array" ref="F17">SUMPRODUCT(ISNUMBER( SEARCH('13 Space Heating Costs'!$C$7:$AW$7,'12 Space Heating Subcomponents'!H19)) *'13 Space Heating Costs'!$C$17:$AW$17)</f>
        <v>5125.2803736336809</v>
      </c>
      <c r="G17" s="140" cm="1">
        <f t="array" ref="G17">SUMPRODUCT(ISNUMBER( SEARCH('13 Space Heating Costs'!$C$7:$AW$7,'12 Space Heating Subcomponents'!I19)) *'13 Space Heating Costs'!$C$17:$AW$17)</f>
        <v>3042.3139864374261</v>
      </c>
      <c r="H17" s="140" cm="1">
        <f t="array" ref="H17">SUMPRODUCT(ISNUMBER( SEARCH('13 Space Heating Costs'!$C$7:$AW$7,'12 Space Heating Subcomponents'!J19)) *'13 Space Heating Costs'!$C$17:$AW$17)</f>
        <v>4238.7566316661523</v>
      </c>
      <c r="I17" s="140" cm="1">
        <f t="array" ref="I17">SUMPRODUCT(ISNUMBER( SEARCH('13 Space Heating Costs'!$C$7:$AW$7,'12 Space Heating Subcomponents'!K19)) *'13 Space Heating Costs'!$C$17:$AW$17)</f>
        <v>3793.3913912092512</v>
      </c>
      <c r="J17" s="140" cm="1">
        <f t="array" ref="J17">SUMPRODUCT(ISNUMBER( SEARCH('13 Space Heating Costs'!$C$7:$AW$7,'12 Space Heating Subcomponents'!L19)) *'13 Space Heating Costs'!$C$17:$AW$17)</f>
        <v>3748.2426121440162</v>
      </c>
      <c r="K17" s="140" cm="1">
        <f t="array" ref="K17">SUMPRODUCT(ISNUMBER( SEARCH('13 Space Heating Costs'!$C$7:$AW$7,'12 Space Heating Subcomponents'!M19)) *'13 Space Heating Costs'!$C$17:$AW$17)</f>
        <v>3574.8158089513727</v>
      </c>
      <c r="L17" s="139"/>
      <c r="M17" s="140" cm="1">
        <f t="array" ref="M17">SUMPRODUCT(ISNUMBER( SEARCH('13 Space Heating Costs'!$C$7:$AW$7,'12 Space Heating Subcomponents'!O19)) *'13 Space Heating Costs'!$C$17:$AW$17)</f>
        <v>3574.8158089513727</v>
      </c>
      <c r="N17" s="140" cm="1">
        <f t="array" ref="N17">SUMPRODUCT(ISNUMBER( SEARCH('13 Space Heating Costs'!$C$7:$AW$7,'12 Space Heating Subcomponents'!P19)) *'13 Space Heating Costs'!$C$17:$AW$17)</f>
        <v>4809.2389201770366</v>
      </c>
      <c r="O17" s="402" cm="1">
        <f t="array" ref="O17">SUMPRODUCT(ISNUMBER( SEARCH('13 Space Heating Costs'!$C$7:$AW$7,'12 Space Heating Subcomponents'!Q19)) *'13 Space Heating Costs'!$C$17:$AW$17)</f>
        <v>5435.1992768948776</v>
      </c>
      <c r="P17" s="72"/>
      <c r="Q17" s="1105"/>
      <c r="R17" s="182" t="s">
        <v>246</v>
      </c>
      <c r="S17" s="182" t="s">
        <v>249</v>
      </c>
      <c r="T17" s="140" cm="1">
        <f t="array" ref="T17">SUMPRODUCT(ISNUMBER( SEARCH('13 Space Heating Costs'!$C$7:$AW$7,'12 Space Heating Subcomponents'!G35)) *'13 Space Heating Costs'!$C$17:$AW$17)</f>
        <v>3934.8575656136536</v>
      </c>
      <c r="U17" s="140" cm="1">
        <f t="array" ref="U17">SUMPRODUCT(ISNUMBER( SEARCH('13 Space Heating Costs'!$C$7:$AW$7,'12 Space Heating Subcomponents'!H35)) *'13 Space Heating Costs'!$C$17:$AW$17)</f>
        <v>5125.2803736336809</v>
      </c>
      <c r="V17" s="140" cm="1">
        <f t="array" ref="V17">SUMPRODUCT(ISNUMBER( SEARCH('13 Space Heating Costs'!$C$7:$AW$7,'12 Space Heating Subcomponents'!I35)) *'13 Space Heating Costs'!$C$17:$AW$17)</f>
        <v>3042.3139864374261</v>
      </c>
      <c r="W17" s="140" cm="1">
        <f t="array" ref="W17">SUMPRODUCT(ISNUMBER( SEARCH('13 Space Heating Costs'!$C$7:$AW$7,'12 Space Heating Subcomponents'!J35)) *'13 Space Heating Costs'!$C$17:$AW$17)</f>
        <v>4238.7566316661523</v>
      </c>
      <c r="X17" s="140" cm="1">
        <f t="array" ref="X17">SUMPRODUCT(ISNUMBER( SEARCH('13 Space Heating Costs'!$C$7:$AW$7,'12 Space Heating Subcomponents'!K35)) *'13 Space Heating Costs'!$C$17:$AW$17)</f>
        <v>3793.3913912092512</v>
      </c>
      <c r="Y17" s="140" cm="1">
        <f t="array" ref="Y17">SUMPRODUCT(ISNUMBER( SEARCH('13 Space Heating Costs'!$C$7:$AW$7,'12 Space Heating Subcomponents'!L35)) *'13 Space Heating Costs'!$C$17:$AW$17)</f>
        <v>3748.2426121440162</v>
      </c>
      <c r="Z17" s="140" cm="1">
        <f t="array" ref="Z17">SUMPRODUCT(ISNUMBER( SEARCH('13 Space Heating Costs'!$C$7:$AW$7,'12 Space Heating Subcomponents'!M35)) *'13 Space Heating Costs'!$C$17:$AW$17)</f>
        <v>3574.8158089513727</v>
      </c>
      <c r="AA17" s="139"/>
      <c r="AB17" s="140" cm="1">
        <f t="array" ref="AB17">SUMPRODUCT(ISNUMBER( SEARCH('13 Space Heating Costs'!$C$7:$AW$7,'12 Space Heating Subcomponents'!O35)) *'13 Space Heating Costs'!$C$17:$AW$17)</f>
        <v>3574.8158089513727</v>
      </c>
      <c r="AC17" s="140" cm="1">
        <f t="array" ref="AC17">SUMPRODUCT(ISNUMBER( SEARCH('13 Space Heating Costs'!$C$7:$AW$7,'12 Space Heating Subcomponents'!P35)) *'13 Space Heating Costs'!$C$17:$AW$17)</f>
        <v>4809.2389201770366</v>
      </c>
      <c r="AD17" s="402" cm="1">
        <f t="array" ref="AD17">SUMPRODUCT(ISNUMBER( SEARCH('13 Space Heating Costs'!$C$7:$AW$7,'12 Space Heating Subcomponents'!Q35)) *'13 Space Heating Costs'!$C$17:$AW$17)</f>
        <v>5435.1992768948776</v>
      </c>
      <c r="AE17" s="72"/>
      <c r="AF17" s="1105"/>
      <c r="AG17" s="182" t="s">
        <v>246</v>
      </c>
      <c r="AH17" s="182" t="s">
        <v>249</v>
      </c>
      <c r="AI17" s="140" cm="1">
        <f t="array" ref="AI17">SUMPRODUCT(ISNUMBER( SEARCH('13 Space Heating Costs'!$C$7:$AW$7,'12 Space Heating Subcomponents'!G51)) *'13 Space Heating Costs'!$C$17:$AW$17)</f>
        <v>3934.8575656136536</v>
      </c>
      <c r="AJ17" s="140" cm="1">
        <f t="array" ref="AJ17">SUMPRODUCT(ISNUMBER( SEARCH('13 Space Heating Costs'!$C$7:$AW$7,'12 Space Heating Subcomponents'!H51)) *'13 Space Heating Costs'!$C$17:$AW$17)</f>
        <v>5125.2803736336809</v>
      </c>
      <c r="AK17" s="140" cm="1">
        <f t="array" ref="AK17">SUMPRODUCT(ISNUMBER( SEARCH('13 Space Heating Costs'!$C$7:$AW$7,'12 Space Heating Subcomponents'!I51)) *'13 Space Heating Costs'!$C$17:$AW$17)</f>
        <v>3042.3139864374261</v>
      </c>
      <c r="AL17" s="140" cm="1">
        <f t="array" ref="AL17">SUMPRODUCT(ISNUMBER( SEARCH('13 Space Heating Costs'!$C$7:$AW$7,'12 Space Heating Subcomponents'!J51)) *'13 Space Heating Costs'!$C$17:$AW$17)</f>
        <v>4238.7566316661523</v>
      </c>
      <c r="AM17" s="140" cm="1">
        <f t="array" ref="AM17">SUMPRODUCT(ISNUMBER( SEARCH('13 Space Heating Costs'!$C$7:$AW$7,'12 Space Heating Subcomponents'!K51)) *'13 Space Heating Costs'!$C$17:$AW$17)</f>
        <v>3793.3913912092512</v>
      </c>
      <c r="AN17" s="140" cm="1">
        <f t="array" ref="AN17">SUMPRODUCT(ISNUMBER( SEARCH('13 Space Heating Costs'!$C$7:$AW$7,'12 Space Heating Subcomponents'!L51)) *'13 Space Heating Costs'!$C$17:$AW$17)</f>
        <v>3748.2426121440162</v>
      </c>
      <c r="AO17" s="140" cm="1">
        <f t="array" ref="AO17">SUMPRODUCT(ISNUMBER( SEARCH('13 Space Heating Costs'!$C$7:$AW$7,'12 Space Heating Subcomponents'!M51)) *'13 Space Heating Costs'!$C$17:$AW$17)</f>
        <v>3574.8158089513727</v>
      </c>
      <c r="AP17" s="139"/>
      <c r="AQ17" s="140" cm="1">
        <f t="array" ref="AQ17">SUMPRODUCT(ISNUMBER( SEARCH('13 Space Heating Costs'!$C$7:$AW$7,'12 Space Heating Subcomponents'!O51)) *'13 Space Heating Costs'!$C$17:$AW$17)</f>
        <v>3574.8158089513727</v>
      </c>
      <c r="AR17" s="140" cm="1">
        <f t="array" ref="AR17">SUMPRODUCT(ISNUMBER( SEARCH('13 Space Heating Costs'!$C$7:$AW$7,'12 Space Heating Subcomponents'!P51)) *'13 Space Heating Costs'!$C$17:$AW$17)</f>
        <v>4809.2389201770366</v>
      </c>
      <c r="AS17" s="402" cm="1">
        <f t="array" ref="AS17">SUMPRODUCT(ISNUMBER( SEARCH('13 Space Heating Costs'!$C$7:$AW$7,'12 Space Heating Subcomponents'!Q51)) *'13 Space Heating Costs'!$C$17:$AW$17)</f>
        <v>5435.1992768948776</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Costs'!$C$17:$AW$17)</f>
        <v>16480.418379740506</v>
      </c>
      <c r="F18" s="140" cm="1">
        <f t="array" ref="F18">SUMPRODUCT(ISNUMBER( SEARCH('13 Space Heating Costs'!$C$7:$AW$7,'12 Space Heating Subcomponents'!H20)) *'13 Space Heating Costs'!$C$17:$AW$17)</f>
        <v>21073.743070491484</v>
      </c>
      <c r="G18" s="140" cm="1">
        <f t="array" ref="G18">SUMPRODUCT(ISNUMBER( SEARCH('13 Space Heating Costs'!$C$7:$AW$7,'12 Space Heating Subcomponents'!I20)) *'13 Space Heating Costs'!$C$17:$AW$17)</f>
        <v>16474.398542531806</v>
      </c>
      <c r="H18" s="140" cm="1">
        <f t="array" ref="H18">SUMPRODUCT(ISNUMBER( SEARCH('13 Space Heating Costs'!$C$7:$AW$7,'12 Space Heating Subcomponents'!J20)) *'13 Space Heating Costs'!$C$17:$AW$17)</f>
        <v>21073.743070491484</v>
      </c>
      <c r="I18" s="140" cm="1">
        <f t="array" ref="I18">SUMPRODUCT(ISNUMBER( SEARCH('13 Space Heating Costs'!$C$7:$AW$7,'12 Space Heating Subcomponents'!K20)) *'13 Space Heating Costs'!$C$17:$AW$17)</f>
        <v>16338.952205336102</v>
      </c>
      <c r="J18" s="140" cm="1">
        <f t="array" ref="J18">SUMPRODUCT(ISNUMBER( SEARCH('13 Space Heating Costs'!$C$7:$AW$7,'12 Space Heating Subcomponents'!L20)) *'13 Space Heating Costs'!$C$17:$AW$17)</f>
        <v>20274.260106565231</v>
      </c>
      <c r="K18" s="140" cm="1">
        <f t="array" ref="K18">SUMPRODUCT(ISNUMBER( SEARCH('13 Space Heating Costs'!$C$7:$AW$7,'12 Space Heating Subcomponents'!M20)) *'13 Space Heating Costs'!$C$17:$AW$17)</f>
        <v>16120.376623078224</v>
      </c>
      <c r="L18" s="140" cm="1">
        <f t="array" ref="L18">SUMPRODUCT(ISNUMBER( SEARCH('13 Space Heating Costs'!$C$7:$AW$7,'12 Space Heating Subcomponents'!N20)) *'13 Space Heating Costs'!$C$17:$AW$17)</f>
        <v>19574.070882257565</v>
      </c>
      <c r="M18" s="139"/>
      <c r="N18" s="140" cm="1">
        <f t="array" ref="N18">SUMPRODUCT(ISNUMBER( SEARCH('13 Space Heating Costs'!$C$7:$AW$7,'12 Space Heating Subcomponents'!P20)) *'13 Space Heating Costs'!$C$17:$AW$17)</f>
        <v>20757.70161703484</v>
      </c>
      <c r="O18" s="402" cm="1">
        <f t="array" ref="O18">SUMPRODUCT(ISNUMBER( SEARCH('13 Space Heating Costs'!$C$7:$AW$7,'12 Space Heating Subcomponents'!Q20)) *'13 Space Heating Costs'!$C$17:$AW$17)</f>
        <v>18729.626478577204</v>
      </c>
      <c r="P18" s="72"/>
      <c r="Q18" s="1105"/>
      <c r="R18" s="182" t="s">
        <v>246</v>
      </c>
      <c r="S18" s="182" t="s">
        <v>250</v>
      </c>
      <c r="T18" s="140" cm="1">
        <f t="array" ref="T18">SUMPRODUCT(ISNUMBER( SEARCH('13 Space Heating Costs'!$C$7:$AW$7,'12 Space Heating Subcomponents'!G36)) *'13 Space Heating Costs'!$C$17:$AW$17)</f>
        <v>16480.418379740506</v>
      </c>
      <c r="U18" s="140" cm="1">
        <f t="array" ref="U18">SUMPRODUCT(ISNUMBER( SEARCH('13 Space Heating Costs'!$C$7:$AW$7,'12 Space Heating Subcomponents'!H36)) *'13 Space Heating Costs'!$C$17:$AW$17)</f>
        <v>21073.743070491484</v>
      </c>
      <c r="V18" s="140" cm="1">
        <f t="array" ref="V18">SUMPRODUCT(ISNUMBER( SEARCH('13 Space Heating Costs'!$C$7:$AW$7,'12 Space Heating Subcomponents'!I36)) *'13 Space Heating Costs'!$C$17:$AW$17)</f>
        <v>16474.398542531806</v>
      </c>
      <c r="W18" s="140" cm="1">
        <f t="array" ref="W18">SUMPRODUCT(ISNUMBER( SEARCH('13 Space Heating Costs'!$C$7:$AW$7,'12 Space Heating Subcomponents'!J36)) *'13 Space Heating Costs'!$C$17:$AW$17)</f>
        <v>21073.743070491484</v>
      </c>
      <c r="X18" s="140" cm="1">
        <f t="array" ref="X18">SUMPRODUCT(ISNUMBER( SEARCH('13 Space Heating Costs'!$C$7:$AW$7,'12 Space Heating Subcomponents'!K36)) *'13 Space Heating Costs'!$C$17:$AW$17)</f>
        <v>16338.952205336102</v>
      </c>
      <c r="Y18" s="140" cm="1">
        <f t="array" ref="Y18">SUMPRODUCT(ISNUMBER( SEARCH('13 Space Heating Costs'!$C$7:$AW$7,'12 Space Heating Subcomponents'!L36)) *'13 Space Heating Costs'!$C$17:$AW$17)</f>
        <v>20274.260106565231</v>
      </c>
      <c r="Z18" s="140" cm="1">
        <f t="array" ref="Z18">SUMPRODUCT(ISNUMBER( SEARCH('13 Space Heating Costs'!$C$7:$AW$7,'12 Space Heating Subcomponents'!M36)) *'13 Space Heating Costs'!$C$17:$AW$17)</f>
        <v>16120.376623078224</v>
      </c>
      <c r="AA18" s="140" cm="1">
        <f t="array" ref="AA18">SUMPRODUCT(ISNUMBER( SEARCH('13 Space Heating Costs'!$C$7:$AW$7,'12 Space Heating Subcomponents'!N36)) *'13 Space Heating Costs'!$C$17:$AW$17)</f>
        <v>19574.070882257565</v>
      </c>
      <c r="AB18" s="139"/>
      <c r="AC18" s="140" cm="1">
        <f t="array" ref="AC18">SUMPRODUCT(ISNUMBER( SEARCH('13 Space Heating Costs'!$C$7:$AW$7,'12 Space Heating Subcomponents'!P36)) *'13 Space Heating Costs'!$C$17:$AW$17)</f>
        <v>20757.70161703484</v>
      </c>
      <c r="AD18" s="402" cm="1">
        <f t="array" ref="AD18">SUMPRODUCT(ISNUMBER( SEARCH('13 Space Heating Costs'!$C$7:$AW$7,'12 Space Heating Subcomponents'!Q36)) *'13 Space Heating Costs'!$C$17:$AW$17)</f>
        <v>18729.626478577204</v>
      </c>
      <c r="AE18" s="72"/>
      <c r="AF18" s="1105"/>
      <c r="AG18" s="182" t="s">
        <v>246</v>
      </c>
      <c r="AH18" s="182" t="s">
        <v>250</v>
      </c>
      <c r="AI18" s="140" cm="1">
        <f t="array" ref="AI18">SUMPRODUCT(ISNUMBER( SEARCH('13 Space Heating Costs'!$C$7:$AW$7,'12 Space Heating Subcomponents'!G52)) *'13 Space Heating Costs'!$C$17:$AW$17)</f>
        <v>16480.418379740506</v>
      </c>
      <c r="AJ18" s="140" cm="1">
        <f t="array" ref="AJ18">SUMPRODUCT(ISNUMBER( SEARCH('13 Space Heating Costs'!$C$7:$AW$7,'12 Space Heating Subcomponents'!H52)) *'13 Space Heating Costs'!$C$17:$AW$17)</f>
        <v>21073.743070491484</v>
      </c>
      <c r="AK18" s="140" cm="1">
        <f t="array" ref="AK18">SUMPRODUCT(ISNUMBER( SEARCH('13 Space Heating Costs'!$C$7:$AW$7,'12 Space Heating Subcomponents'!I52)) *'13 Space Heating Costs'!$C$17:$AW$17)</f>
        <v>16474.398542531806</v>
      </c>
      <c r="AL18" s="140" cm="1">
        <f t="array" ref="AL18">SUMPRODUCT(ISNUMBER( SEARCH('13 Space Heating Costs'!$C$7:$AW$7,'12 Space Heating Subcomponents'!J52)) *'13 Space Heating Costs'!$C$17:$AW$17)</f>
        <v>21073.743070491484</v>
      </c>
      <c r="AM18" s="140" cm="1">
        <f t="array" ref="AM18">SUMPRODUCT(ISNUMBER( SEARCH('13 Space Heating Costs'!$C$7:$AW$7,'12 Space Heating Subcomponents'!K52)) *'13 Space Heating Costs'!$C$17:$AW$17)</f>
        <v>16338.952205336102</v>
      </c>
      <c r="AN18" s="140" cm="1">
        <f t="array" ref="AN18">SUMPRODUCT(ISNUMBER( SEARCH('13 Space Heating Costs'!$C$7:$AW$7,'12 Space Heating Subcomponents'!L52)) *'13 Space Heating Costs'!$C$17:$AW$17)</f>
        <v>20274.260106565231</v>
      </c>
      <c r="AO18" s="140" cm="1">
        <f t="array" ref="AO18">SUMPRODUCT(ISNUMBER( SEARCH('13 Space Heating Costs'!$C$7:$AW$7,'12 Space Heating Subcomponents'!M52)) *'13 Space Heating Costs'!$C$17:$AW$17)</f>
        <v>16120.376623078224</v>
      </c>
      <c r="AP18" s="140" cm="1">
        <f t="array" ref="AP18">SUMPRODUCT(ISNUMBER( SEARCH('13 Space Heating Costs'!$C$7:$AW$7,'12 Space Heating Subcomponents'!N52)) *'13 Space Heating Costs'!$C$17:$AW$17)</f>
        <v>19574.070882257565</v>
      </c>
      <c r="AQ18" s="139"/>
      <c r="AR18" s="140" cm="1">
        <f t="array" ref="AR18">SUMPRODUCT(ISNUMBER( SEARCH('13 Space Heating Costs'!$C$7:$AW$7,'12 Space Heating Subcomponents'!P52)) *'13 Space Heating Costs'!$C$17:$AW$17)</f>
        <v>20757.70161703484</v>
      </c>
      <c r="AS18" s="402" cm="1">
        <f t="array" ref="AS18">SUMPRODUCT(ISNUMBER( SEARCH('13 Space Heating Costs'!$C$7:$AW$7,'12 Space Heating Subcomponents'!Q52)) *'13 Space Heating Costs'!$C$17:$AW$17)</f>
        <v>18729.626478577204</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Costs'!$C$17:$AW$17)</f>
        <v>2406.3246969040174</v>
      </c>
      <c r="F19" s="140" cm="1">
        <f t="array" ref="F19">SUMPRODUCT(ISNUMBER( SEARCH('13 Space Heating Costs'!$C$7:$AW$7,'12 Space Heating Subcomponents'!H21)) *'13 Space Heating Costs'!$C$17:$AW$17)</f>
        <v>3596.7475049240447</v>
      </c>
      <c r="G19" s="140" cm="1">
        <f t="array" ref="G19">SUMPRODUCT(ISNUMBER( SEARCH('13 Space Heating Costs'!$C$7:$AW$7,'12 Space Heating Subcomponents'!I21)) *'13 Space Heating Costs'!$C$17:$AW$17)</f>
        <v>5803.2067424262714</v>
      </c>
      <c r="H19" s="140" cm="1">
        <f t="array" ref="H19">SUMPRODUCT(ISNUMBER( SEARCH('13 Space Heating Costs'!$C$7:$AW$7,'12 Space Heating Subcomponents'!J21)) *'13 Space Heating Costs'!$C$17:$AW$17)</f>
        <v>6999.6493876549966</v>
      </c>
      <c r="I19" s="140" cm="1">
        <f t="array" ref="I19">SUMPRODUCT(ISNUMBER( SEARCH('13 Space Heating Costs'!$C$7:$AW$7,'12 Space Heating Subcomponents'!K21)) *'13 Space Heating Costs'!$C$17:$AW$17)</f>
        <v>2842.4133200630231</v>
      </c>
      <c r="J19" s="140" cm="1">
        <f t="array" ref="J19">SUMPRODUCT(ISNUMBER( SEARCH('13 Space Heating Costs'!$C$7:$AW$7,'12 Space Heating Subcomponents'!L21)) *'13 Space Heating Costs'!$C$17:$AW$17)</f>
        <v>6200.1664237287405</v>
      </c>
      <c r="K19" s="140" cm="1">
        <f t="array" ref="K19">SUMPRODUCT(ISNUMBER( SEARCH('13 Space Heating Costs'!$C$7:$AW$7,'12 Space Heating Subcomponents'!M21)) *'13 Space Heating Costs'!$C$17:$AW$17)</f>
        <v>3339.0498897806074</v>
      </c>
      <c r="L19" s="140" cm="1">
        <f t="array" ref="L19">SUMPRODUCT(ISNUMBER( SEARCH('13 Space Heating Costs'!$C$7:$AW$7,'12 Space Heating Subcomponents'!N21)) *'13 Space Heating Costs'!$C$17:$AW$17)</f>
        <v>6792.7441489599496</v>
      </c>
      <c r="M19" s="140" cm="1">
        <f t="array" ref="M19">SUMPRODUCT(ISNUMBER( SEARCH('13 Space Heating Costs'!$C$7:$AW$7,'12 Space Heating Subcomponents'!O21)) *'13 Space Heating Costs'!$C$17:$AW$17)</f>
        <v>3339.0498897806074</v>
      </c>
      <c r="N19" s="139"/>
      <c r="O19" s="402" cm="1">
        <f t="array" ref="O19">SUMPRODUCT(ISNUMBER( SEARCH('13 Space Heating Costs'!$C$7:$AW$7,'12 Space Heating Subcomponents'!Q21)) *'13 Space Heating Costs'!$C$17:$AW$17)</f>
        <v>8773.6468304471309</v>
      </c>
      <c r="P19" s="72"/>
      <c r="Q19" s="1105"/>
      <c r="R19" s="182" t="s">
        <v>86</v>
      </c>
      <c r="S19" s="182" t="s">
        <v>243</v>
      </c>
      <c r="T19" s="140" cm="1">
        <f t="array" ref="T19">SUMPRODUCT(ISNUMBER( SEARCH('13 Space Heating Costs'!$C$7:$AW$7,'12 Space Heating Subcomponents'!G37)) *'13 Space Heating Costs'!$C$17:$AW$17)</f>
        <v>3351.4625865412431</v>
      </c>
      <c r="U19" s="140" cm="1">
        <f t="array" ref="U19">SUMPRODUCT(ISNUMBER( SEARCH('13 Space Heating Costs'!$C$7:$AW$7,'12 Space Heating Subcomponents'!H37)) *'13 Space Heating Costs'!$C$17:$AW$17)</f>
        <v>4541.8853945612709</v>
      </c>
      <c r="V19" s="140" cm="1">
        <f t="array" ref="V19">SUMPRODUCT(ISNUMBER( SEARCH('13 Space Heating Costs'!$C$7:$AW$7,'12 Space Heating Subcomponents'!I37)) *'13 Space Heating Costs'!$C$17:$AW$17)</f>
        <v>6748.3446320634976</v>
      </c>
      <c r="W19" s="140" cm="1">
        <f t="array" ref="W19">SUMPRODUCT(ISNUMBER( SEARCH('13 Space Heating Costs'!$C$7:$AW$7,'12 Space Heating Subcomponents'!J37)) *'13 Space Heating Costs'!$C$17:$AW$17)</f>
        <v>7944.7872772922219</v>
      </c>
      <c r="X19" s="140" cm="1">
        <f t="array" ref="X19">SUMPRODUCT(ISNUMBER( SEARCH('13 Space Heating Costs'!$C$7:$AW$7,'12 Space Heating Subcomponents'!K37)) *'13 Space Heating Costs'!$C$17:$AW$17)</f>
        <v>3787.5512097002493</v>
      </c>
      <c r="Y19" s="140" cm="1">
        <f t="array" ref="Y19">SUMPRODUCT(ISNUMBER( SEARCH('13 Space Heating Costs'!$C$7:$AW$7,'12 Space Heating Subcomponents'!L37)) *'13 Space Heating Costs'!$C$17:$AW$17)</f>
        <v>7145.3043133659667</v>
      </c>
      <c r="Z19" s="140" cm="1">
        <f t="array" ref="Z19">SUMPRODUCT(ISNUMBER( SEARCH('13 Space Heating Costs'!$C$7:$AW$7,'12 Space Heating Subcomponents'!M37)) *'13 Space Heating Costs'!$C$17:$AW$17)</f>
        <v>4284.1877794178336</v>
      </c>
      <c r="AA19" s="140" cm="1">
        <f t="array" ref="AA19">SUMPRODUCT(ISNUMBER( SEARCH('13 Space Heating Costs'!$C$7:$AW$7,'12 Space Heating Subcomponents'!N37)) *'13 Space Heating Costs'!$C$17:$AW$17)</f>
        <v>7737.8820385971758</v>
      </c>
      <c r="AB19" s="140" cm="1">
        <f t="array" ref="AB19">SUMPRODUCT(ISNUMBER( SEARCH('13 Space Heating Costs'!$C$7:$AW$7,'12 Space Heating Subcomponents'!O37)) *'13 Space Heating Costs'!$C$17:$AW$17)</f>
        <v>4284.1877794178336</v>
      </c>
      <c r="AC19" s="139"/>
      <c r="AD19" s="402" cm="1">
        <f t="array" ref="AD19">SUMPRODUCT(ISNUMBER( SEARCH('13 Space Heating Costs'!$C$7:$AW$7,'12 Space Heating Subcomponents'!Q37)) *'13 Space Heating Costs'!$C$17:$AW$17)</f>
        <v>9718.7847200843571</v>
      </c>
      <c r="AE19" s="72"/>
      <c r="AF19" s="1105"/>
      <c r="AG19" s="182" t="s">
        <v>86</v>
      </c>
      <c r="AH19" s="182" t="s">
        <v>243</v>
      </c>
      <c r="AI19" s="140" cm="1">
        <f t="array" ref="AI19">SUMPRODUCT(ISNUMBER( SEARCH('13 Space Heating Costs'!$C$7:$AW$7,'12 Space Heating Subcomponents'!G53)) *'13 Space Heating Costs'!$C$17:$AW$17)</f>
        <v>2129.9917458699665</v>
      </c>
      <c r="AJ19" s="140" cm="1">
        <f t="array" ref="AJ19">SUMPRODUCT(ISNUMBER( SEARCH('13 Space Heating Costs'!$C$7:$AW$7,'12 Space Heating Subcomponents'!H53)) *'13 Space Heating Costs'!$C$17:$AW$17)</f>
        <v>3320.4145538899943</v>
      </c>
      <c r="AK19" s="140" cm="1">
        <f t="array" ref="AK19">SUMPRODUCT(ISNUMBER( SEARCH('13 Space Heating Costs'!$C$7:$AW$7,'12 Space Heating Subcomponents'!I53)) *'13 Space Heating Costs'!$C$17:$AW$17)</f>
        <v>5526.8737913922205</v>
      </c>
      <c r="AL19" s="140" cm="1">
        <f t="array" ref="AL19">SUMPRODUCT(ISNUMBER( SEARCH('13 Space Heating Costs'!$C$7:$AW$7,'12 Space Heating Subcomponents'!J53)) *'13 Space Heating Costs'!$C$17:$AW$17)</f>
        <v>6723.3164366209458</v>
      </c>
      <c r="AM19" s="140" cm="1">
        <f t="array" ref="AM19">SUMPRODUCT(ISNUMBER( SEARCH('13 Space Heating Costs'!$C$7:$AW$7,'12 Space Heating Subcomponents'!K53)) *'13 Space Heating Costs'!$C$17:$AW$17)</f>
        <v>2566.0803690289727</v>
      </c>
      <c r="AN19" s="140" cm="1">
        <f t="array" ref="AN19">SUMPRODUCT(ISNUMBER( SEARCH('13 Space Heating Costs'!$C$7:$AW$7,'12 Space Heating Subcomponents'!L53)) *'13 Space Heating Costs'!$C$17:$AW$17)</f>
        <v>5923.8334726946896</v>
      </c>
      <c r="AO19" s="140" cm="1">
        <f t="array" ref="AO19">SUMPRODUCT(ISNUMBER( SEARCH('13 Space Heating Costs'!$C$7:$AW$7,'12 Space Heating Subcomponents'!M53)) *'13 Space Heating Costs'!$C$17:$AW$17)</f>
        <v>3062.7169387465569</v>
      </c>
      <c r="AP19" s="140" cm="1">
        <f t="array" ref="AP19">SUMPRODUCT(ISNUMBER( SEARCH('13 Space Heating Costs'!$C$7:$AW$7,'12 Space Heating Subcomponents'!N53)) *'13 Space Heating Costs'!$C$17:$AW$17)</f>
        <v>6516.4111979258987</v>
      </c>
      <c r="AQ19" s="140" cm="1">
        <f t="array" ref="AQ19">SUMPRODUCT(ISNUMBER( SEARCH('13 Space Heating Costs'!$C$7:$AW$7,'12 Space Heating Subcomponents'!O53)) *'13 Space Heating Costs'!$C$17:$AW$17)</f>
        <v>3062.7169387465569</v>
      </c>
      <c r="AR19" s="139"/>
      <c r="AS19" s="402" cm="1">
        <f t="array" ref="AS19">SUMPRODUCT(ISNUMBER( SEARCH('13 Space Heating Costs'!$C$7:$AW$7,'12 Space Heating Subcomponents'!Q53)) *'13 Space Heating Costs'!$C$17:$AW$17)</f>
        <v>8497.3138794130809</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Costs'!$C$17:$AW$17)</f>
        <v>3815.5921332847483</v>
      </c>
      <c r="F20" s="403" cm="1">
        <f t="array" ref="F20">SUMPRODUCT(ISNUMBER( SEARCH('13 Space Heating Costs'!$C$7:$AW$7,'12 Space Heating Subcomponents'!H22)) *'13 Space Heating Costs'!$C$17:$AW$17)</f>
        <v>5006.0149413047766</v>
      </c>
      <c r="G20" s="403" cm="1">
        <f t="array" ref="G20">SUMPRODUCT(ISNUMBER( SEARCH('13 Space Heating Costs'!$C$7:$AW$7,'12 Space Heating Subcomponents'!I22)) *'13 Space Heating Costs'!$C$17:$AW$17)</f>
        <v>3809.5722960760504</v>
      </c>
      <c r="H20" s="403" cm="1">
        <f t="array" ref="H20">SUMPRODUCT(ISNUMBER( SEARCH('13 Space Heating Costs'!$C$7:$AW$7,'12 Space Heating Subcomponents'!J22)) *'13 Space Heating Costs'!$C$17:$AW$17)</f>
        <v>5006.0149413047766</v>
      </c>
      <c r="I20" s="403" cm="1">
        <f t="array" ref="I20">SUMPRODUCT(ISNUMBER( SEARCH('13 Space Heating Costs'!$C$7:$AW$7,'12 Space Heating Subcomponents'!K22)) *'13 Space Heating Costs'!$C$17:$AW$17)</f>
        <v>3674.1259588803459</v>
      </c>
      <c r="J20" s="403" cm="1">
        <f t="array" ref="J20">SUMPRODUCT(ISNUMBER( SEARCH('13 Space Heating Costs'!$C$7:$AW$7,'12 Space Heating Subcomponents'!L22)) *'13 Space Heating Costs'!$C$17:$AW$17)</f>
        <v>3628.977179815111</v>
      </c>
      <c r="K20" s="403" cm="1">
        <f t="array" ref="K20">SUMPRODUCT(ISNUMBER( SEARCH('13 Space Heating Costs'!$C$7:$AW$7,'12 Space Heating Subcomponents'!M22)) *'13 Space Heating Costs'!$C$17:$AW$17)</f>
        <v>4170.7625285979302</v>
      </c>
      <c r="L20" s="403" cm="1">
        <f t="array" ref="L20">SUMPRODUCT(ISNUMBER( SEARCH('13 Space Heating Costs'!$C$7:$AW$7,'12 Space Heating Subcomponents'!N22)) *'13 Space Heating Costs'!$C$17:$AW$17)</f>
        <v>4221.5549050463196</v>
      </c>
      <c r="M20" s="403" cm="1">
        <f t="array" ref="M20">SUMPRODUCT(ISNUMBER( SEARCH('13 Space Heating Costs'!$C$7:$AW$7,'12 Space Heating Subcomponents'!O22)) *'13 Space Heating Costs'!$C$17:$AW$17)</f>
        <v>4170.7625285979302</v>
      </c>
      <c r="N20" s="403" cm="1">
        <f t="array" ref="N20">SUMPRODUCT(ISNUMBER( SEARCH('13 Space Heating Costs'!$C$7:$AW$7,'12 Space Heating Subcomponents'!P22)) *'13 Space Heating Costs'!$C$17:$AW$17)</f>
        <v>4689.9734878481313</v>
      </c>
      <c r="O20" s="516"/>
      <c r="P20" s="58"/>
      <c r="Q20" s="1106"/>
      <c r="R20" s="366" t="s">
        <v>252</v>
      </c>
      <c r="S20" s="366" t="s">
        <v>253</v>
      </c>
      <c r="T20" s="403" cm="1">
        <f t="array" ref="T20">SUMPRODUCT(ISNUMBER( SEARCH('13 Space Heating Costs'!$C$7:$AW$7,'12 Space Heating Subcomponents'!G38)) *'13 Space Heating Costs'!$C$17:$AW$17)</f>
        <v>3815.5921332847483</v>
      </c>
      <c r="U20" s="403" cm="1">
        <f t="array" ref="U20">SUMPRODUCT(ISNUMBER( SEARCH('13 Space Heating Costs'!$C$7:$AW$7,'12 Space Heating Subcomponents'!H38)) *'13 Space Heating Costs'!$C$17:$AW$17)</f>
        <v>5006.0149413047766</v>
      </c>
      <c r="V20" s="403" cm="1">
        <f t="array" ref="V20">SUMPRODUCT(ISNUMBER( SEARCH('13 Space Heating Costs'!$C$7:$AW$7,'12 Space Heating Subcomponents'!I38)) *'13 Space Heating Costs'!$C$17:$AW$17)</f>
        <v>3809.5722960760504</v>
      </c>
      <c r="W20" s="403" cm="1">
        <f t="array" ref="W20">SUMPRODUCT(ISNUMBER( SEARCH('13 Space Heating Costs'!$C$7:$AW$7,'12 Space Heating Subcomponents'!J38)) *'13 Space Heating Costs'!$C$17:$AW$17)</f>
        <v>5006.0149413047766</v>
      </c>
      <c r="X20" s="403" cm="1">
        <f t="array" ref="X20">SUMPRODUCT(ISNUMBER( SEARCH('13 Space Heating Costs'!$C$7:$AW$7,'12 Space Heating Subcomponents'!K38)) *'13 Space Heating Costs'!$C$17:$AW$17)</f>
        <v>3674.1259588803459</v>
      </c>
      <c r="Y20" s="403" cm="1">
        <f t="array" ref="Y20">SUMPRODUCT(ISNUMBER( SEARCH('13 Space Heating Costs'!$C$7:$AW$7,'12 Space Heating Subcomponents'!L38)) *'13 Space Heating Costs'!$C$17:$AW$17)</f>
        <v>3628.977179815111</v>
      </c>
      <c r="Z20" s="403" cm="1">
        <f t="array" ref="Z20">SUMPRODUCT(ISNUMBER( SEARCH('13 Space Heating Costs'!$C$7:$AW$7,'12 Space Heating Subcomponents'!M38)) *'13 Space Heating Costs'!$C$17:$AW$17)</f>
        <v>4170.7625285979302</v>
      </c>
      <c r="AA20" s="403" cm="1">
        <f t="array" ref="AA20">SUMPRODUCT(ISNUMBER( SEARCH('13 Space Heating Costs'!$C$7:$AW$7,'12 Space Heating Subcomponents'!N38)) *'13 Space Heating Costs'!$C$17:$AW$17)</f>
        <v>4221.5549050463196</v>
      </c>
      <c r="AB20" s="403" cm="1">
        <f t="array" ref="AB20">SUMPRODUCT(ISNUMBER( SEARCH('13 Space Heating Costs'!$C$7:$AW$7,'12 Space Heating Subcomponents'!O38)) *'13 Space Heating Costs'!$C$17:$AW$17)</f>
        <v>4170.7625285979302</v>
      </c>
      <c r="AC20" s="403" cm="1">
        <f t="array" ref="AC20">SUMPRODUCT(ISNUMBER( SEARCH('13 Space Heating Costs'!$C$7:$AW$7,'12 Space Heating Subcomponents'!P38)) *'13 Space Heating Costs'!$C$17:$AW$17)</f>
        <v>4689.9734878481313</v>
      </c>
      <c r="AD20" s="516"/>
      <c r="AE20" s="58"/>
      <c r="AF20" s="1106"/>
      <c r="AG20" s="366" t="s">
        <v>252</v>
      </c>
      <c r="AH20" s="366" t="s">
        <v>253</v>
      </c>
      <c r="AI20" s="403" cm="1">
        <f t="array" ref="AI20">SUMPRODUCT(ISNUMBER( SEARCH('13 Space Heating Costs'!$C$7:$AW$7,'12 Space Heating Subcomponents'!G54)) *'13 Space Heating Costs'!$C$17:$AW$17)</f>
        <v>3815.5921332847483</v>
      </c>
      <c r="AJ20" s="403" cm="1">
        <f t="array" ref="AJ20">SUMPRODUCT(ISNUMBER( SEARCH('13 Space Heating Costs'!$C$7:$AW$7,'12 Space Heating Subcomponents'!H54)) *'13 Space Heating Costs'!$C$17:$AW$17)</f>
        <v>5006.0149413047766</v>
      </c>
      <c r="AK20" s="403" cm="1">
        <f t="array" ref="AK20">SUMPRODUCT(ISNUMBER( SEARCH('13 Space Heating Costs'!$C$7:$AW$7,'12 Space Heating Subcomponents'!I54)) *'13 Space Heating Costs'!$C$17:$AW$17)</f>
        <v>3809.5722960760504</v>
      </c>
      <c r="AL20" s="403" cm="1">
        <f t="array" ref="AL20">SUMPRODUCT(ISNUMBER( SEARCH('13 Space Heating Costs'!$C$7:$AW$7,'12 Space Heating Subcomponents'!J54)) *'13 Space Heating Costs'!$C$17:$AW$17)</f>
        <v>5006.0149413047766</v>
      </c>
      <c r="AM20" s="403" cm="1">
        <f t="array" ref="AM20">SUMPRODUCT(ISNUMBER( SEARCH('13 Space Heating Costs'!$C$7:$AW$7,'12 Space Heating Subcomponents'!K54)) *'13 Space Heating Costs'!$C$17:$AW$17)</f>
        <v>3674.1259588803459</v>
      </c>
      <c r="AN20" s="403" cm="1">
        <f t="array" ref="AN20">SUMPRODUCT(ISNUMBER( SEARCH('13 Space Heating Costs'!$C$7:$AW$7,'12 Space Heating Subcomponents'!L54)) *'13 Space Heating Costs'!$C$17:$AW$17)</f>
        <v>3628.977179815111</v>
      </c>
      <c r="AO20" s="403" cm="1">
        <f t="array" ref="AO20">SUMPRODUCT(ISNUMBER( SEARCH('13 Space Heating Costs'!$C$7:$AW$7,'12 Space Heating Subcomponents'!M54)) *'13 Space Heating Costs'!$C$17:$AW$17)</f>
        <v>4170.7625285979302</v>
      </c>
      <c r="AP20" s="403" cm="1">
        <f t="array" ref="AP20">SUMPRODUCT(ISNUMBER( SEARCH('13 Space Heating Costs'!$C$7:$AW$7,'12 Space Heating Subcomponents'!N54)) *'13 Space Heating Costs'!$C$17:$AW$17)</f>
        <v>4221.5549050463196</v>
      </c>
      <c r="AQ20" s="403" cm="1">
        <f t="array" ref="AQ20">SUMPRODUCT(ISNUMBER( SEARCH('13 Space Heating Costs'!$C$7:$AW$7,'12 Space Heating Subcomponents'!O54)) *'13 Space Heating Costs'!$C$17:$AW$17)</f>
        <v>4170.7625285979302</v>
      </c>
      <c r="AR20" s="403" cm="1">
        <f t="array" ref="AR20">SUMPRODUCT(ISNUMBER( SEARCH('13 Space Heating Costs'!$C$7:$AW$7,'12 Space Heating Subcomponents'!P54)) *'13 Space Heating Costs'!$C$17:$AW$17)</f>
        <v>4689.9734878481313</v>
      </c>
      <c r="AS20" s="516"/>
      <c r="AT20" s="58"/>
    </row>
    <row r="21" spans="1:46" s="61" customFormat="1" ht="80.099999999999994"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A22" s="673"/>
      <c r="B22" s="1107" t="s">
        <v>1070</v>
      </c>
      <c r="C22" s="1108"/>
      <c r="D22" s="1108"/>
      <c r="E22" s="1108"/>
      <c r="F22" s="1108"/>
      <c r="G22" s="1108"/>
      <c r="H22" s="1109"/>
      <c r="I22"/>
      <c r="Q22" s="1107" t="s">
        <v>1071</v>
      </c>
      <c r="R22" s="1108"/>
      <c r="S22" s="1108"/>
      <c r="T22" s="1108"/>
      <c r="U22" s="1108"/>
      <c r="V22" s="1108"/>
      <c r="W22" s="1109"/>
      <c r="X22"/>
      <c r="AF22" s="1107" t="s">
        <v>1075</v>
      </c>
      <c r="AG22" s="1108"/>
      <c r="AH22" s="1108"/>
      <c r="AI22" s="1108"/>
      <c r="AJ22" s="1108"/>
      <c r="AK22" s="1108"/>
      <c r="AL22" s="1109"/>
      <c r="AM22" s="673"/>
      <c r="AN22" s="673"/>
      <c r="AO22" s="673"/>
      <c r="AP22" s="673"/>
      <c r="AQ22" s="673"/>
    </row>
    <row r="23" spans="1:46" s="5" customFormat="1" ht="79.900000000000006"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c r="AM23" s="675"/>
      <c r="AN23" s="675"/>
      <c r="AO23" s="675"/>
      <c r="AP23" s="675"/>
      <c r="AQ23" s="675"/>
    </row>
    <row r="24" spans="1:46" s="5" customFormat="1" ht="79.900000000000006"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c r="AM24" s="672"/>
      <c r="AN24" s="672"/>
      <c r="AO24" s="672"/>
      <c r="AP24" s="672"/>
      <c r="AQ24" s="672"/>
    </row>
    <row r="25" spans="1:46" s="5" customFormat="1" ht="79.900000000000006" customHeight="1" x14ac:dyDescent="0.25">
      <c r="B25" s="1114"/>
      <c r="C25" s="1115"/>
      <c r="D25" s="1122"/>
      <c r="E25" s="1122"/>
      <c r="F25" s="1122"/>
      <c r="G25" s="1122"/>
      <c r="H25" s="1124"/>
      <c r="I25"/>
      <c r="Q25" s="1114"/>
      <c r="R25" s="1115"/>
      <c r="S25" s="1122"/>
      <c r="T25" s="1122"/>
      <c r="U25" s="1122"/>
      <c r="V25" s="1122"/>
      <c r="W25" s="1124"/>
      <c r="X25"/>
      <c r="AF25" s="1114"/>
      <c r="AG25" s="1115"/>
      <c r="AH25" s="179"/>
      <c r="AI25" s="179"/>
      <c r="AJ25" s="179"/>
      <c r="AK25" s="179"/>
      <c r="AL25" s="180"/>
      <c r="AM25" s="676"/>
      <c r="AN25" s="676"/>
      <c r="AO25" s="676"/>
      <c r="AP25" s="676"/>
      <c r="AQ25" s="676"/>
    </row>
    <row r="26" spans="1:46" s="5" customFormat="1" ht="200.1" customHeight="1" x14ac:dyDescent="0.25">
      <c r="B26" s="1104" t="s">
        <v>952</v>
      </c>
      <c r="C26" s="149" t="s">
        <v>246</v>
      </c>
      <c r="D26" s="143" cm="1">
        <f t="array" ref="D26">SUMPRODUCT(ISNUMBER(SEARCH('16 Water Heating Costs'!$E$42:$AE$42,'16 Water Heating Costs'!F10)) *'16 Water Heating Costs'!$E$52:$AE$52)</f>
        <v>0</v>
      </c>
      <c r="E26" s="143" cm="1">
        <f t="array" ref="E26">SUMPRODUCT(ISNUMBER(SEARCH('16 Water Heating Costs'!$E$42:$AE$42,'16 Water Heating Costs'!G10)) *'16 Water Heating Costs'!$E$52:$AE$52)</f>
        <v>995.93657635545935</v>
      </c>
      <c r="F26" s="143" cm="1">
        <f t="array" ref="F26">SUMPRODUCT(ISNUMBER(SEARCH('16 Water Heating Costs'!$E$42:$AE$42,'16 Water Heating Costs'!H10)) *'16 Water Heating Costs'!$E$52:$AE$52)</f>
        <v>995.93657635545935</v>
      </c>
      <c r="G26" s="143" cm="1">
        <f t="array" ref="G26">SUMPRODUCT(ISNUMBER(SEARCH('16 Water Heating Costs'!$E$42:$AE$42,'16 Water Heating Costs'!I10)) *'16 Water Heating Costs'!$E$52:$AE$52)</f>
        <v>995.93657635545935</v>
      </c>
      <c r="H26" s="150" cm="1">
        <f t="array" ref="H26">SUMPRODUCT(ISNUMBER(SEARCH('16 Water Heating Costs'!$E$42:$AE$42,'16 Water Heating Costs'!J10)) *'16 Water Heating Costs'!$E$52:$AE$52)</f>
        <v>795.2121519754628</v>
      </c>
      <c r="I26"/>
      <c r="Q26" s="1104" t="s">
        <v>952</v>
      </c>
      <c r="R26" s="149" t="s">
        <v>246</v>
      </c>
      <c r="S26" s="143" cm="1">
        <f t="array" ref="S26">SUMPRODUCT(ISNUMBER(SEARCH('16 Water Heating Costs'!$E$42:$AE$42,'16 Water Heating Costs'!N10)) *'16 Water Heating Costs'!$E$52:$AE$52)</f>
        <v>0</v>
      </c>
      <c r="T26" s="143" cm="1">
        <f t="array" ref="T26">SUMPRODUCT(ISNUMBER(SEARCH('16 Water Heating Costs'!$E$42:$AE$42,'16 Water Heating Costs'!O10)) *'16 Water Heating Costs'!$E$52:$AE$52)</f>
        <v>995.93657635545935</v>
      </c>
      <c r="U26" s="143" cm="1">
        <f t="array" ref="U26">SUMPRODUCT(ISNUMBER(SEARCH('16 Water Heating Costs'!$E$42:$AE$42,'16 Water Heating Costs'!P10)) *'16 Water Heating Costs'!$E$52:$AE$52)</f>
        <v>995.93657635545935</v>
      </c>
      <c r="V26" s="143" cm="1">
        <f t="array" ref="V26">SUMPRODUCT(ISNUMBER(SEARCH('16 Water Heating Costs'!$E$42:$AE$42,'16 Water Heating Costs'!Q10)) *'16 Water Heating Costs'!$E$52:$AE$52)</f>
        <v>995.93657635545935</v>
      </c>
      <c r="W26" s="150" cm="1">
        <f t="array" ref="W26">SUMPRODUCT(ISNUMBER(SEARCH('16 Water Heating Costs'!$E$42:$AE$42,'16 Water Heating Costs'!R10)) *'16 Water Heating Costs'!$E$52:$AE$52)</f>
        <v>795.2121519754628</v>
      </c>
      <c r="X26"/>
      <c r="AF26" s="1104" t="s">
        <v>952</v>
      </c>
      <c r="AG26" s="149" t="s">
        <v>246</v>
      </c>
      <c r="AH26" s="143" cm="1">
        <f t="array" ref="AH26">SUMPRODUCT(ISNUMBER(SEARCH('16 Water Heating Costs'!$E$42:$AE$42,'16 Water Heating Costs'!V10)) *'16 Water Heating Costs'!$E$52:$AE$52)</f>
        <v>0</v>
      </c>
      <c r="AI26" s="143" cm="1">
        <f t="array" ref="AI26">SUMPRODUCT(ISNUMBER(SEARCH('16 Water Heating Costs'!$E$42:$AE$42,'16 Water Heating Costs'!W10)) *'16 Water Heating Costs'!$E$52:$AE$52)</f>
        <v>995.93657635545935</v>
      </c>
      <c r="AJ26" s="143" cm="1">
        <f t="array" ref="AJ26">SUMPRODUCT(ISNUMBER(SEARCH('16 Water Heating Costs'!$E$42:$AE$42,'16 Water Heating Costs'!X10)) *'16 Water Heating Costs'!$E$52:$AE$52)</f>
        <v>995.93657635545935</v>
      </c>
      <c r="AK26" s="143" cm="1">
        <f t="array" ref="AK26">SUMPRODUCT(ISNUMBER(SEARCH('16 Water Heating Costs'!$E$42:$AE$42,'16 Water Heating Costs'!Y10)) *'16 Water Heating Costs'!$E$52:$AE$52)</f>
        <v>995.93657635545935</v>
      </c>
      <c r="AL26" s="150" cm="1">
        <f t="array" ref="AL26">SUMPRODUCT(ISNUMBER(SEARCH('16 Water Heating Costs'!$E$42:$AE$42,'16 Water Heating Costs'!Z10)) *'16 Water Heating Costs'!$E$52:$AE$52)</f>
        <v>795.2121519754628</v>
      </c>
      <c r="AM26" s="681"/>
      <c r="AN26" s="681"/>
      <c r="AO26" s="681"/>
      <c r="AP26" s="681"/>
      <c r="AQ26" s="681"/>
    </row>
    <row r="27" spans="1:46" s="5" customFormat="1" ht="200.1" customHeight="1" x14ac:dyDescent="0.25">
      <c r="B27" s="1105"/>
      <c r="C27" s="152" t="s">
        <v>244</v>
      </c>
      <c r="D27" s="687"/>
      <c r="E27" s="687"/>
      <c r="F27" s="687"/>
      <c r="G27" s="687"/>
      <c r="H27" s="689"/>
      <c r="I27"/>
      <c r="Q27" s="1105"/>
      <c r="R27" s="152" t="s">
        <v>244</v>
      </c>
      <c r="S27" s="687"/>
      <c r="T27" s="687"/>
      <c r="U27" s="687"/>
      <c r="V27" s="687"/>
      <c r="W27" s="689"/>
      <c r="X27"/>
      <c r="AF27" s="1119"/>
      <c r="AG27" s="152" t="s">
        <v>244</v>
      </c>
      <c r="AH27" s="687"/>
      <c r="AI27" s="687"/>
      <c r="AJ27" s="687"/>
      <c r="AK27" s="687"/>
      <c r="AL27" s="689"/>
      <c r="AM27" s="681"/>
      <c r="AN27" s="681"/>
      <c r="AO27" s="681"/>
      <c r="AP27" s="681"/>
      <c r="AQ27" s="681"/>
    </row>
    <row r="28" spans="1:46" s="5" customFormat="1" ht="200.1" customHeight="1" x14ac:dyDescent="0.25">
      <c r="B28" s="1105"/>
      <c r="C28" s="152" t="s">
        <v>86</v>
      </c>
      <c r="D28" s="143" cm="1">
        <f t="array" ref="D28">SUMPRODUCT(ISNUMBER(SEARCH('16 Water Heating Costs'!$E$42:$AE$42,'16 Water Heating Costs'!F12)) *'16 Water Heating Costs'!$E$52:$AE$52)</f>
        <v>3186.2799953321328</v>
      </c>
      <c r="E28" s="143" cm="1">
        <f t="array" ref="E28">SUMPRODUCT(ISNUMBER(SEARCH('16 Water Heating Costs'!$E$42:$AE$42,'16 Water Heating Costs'!G12)) *'16 Water Heating Costs'!$E$52:$AE$52)</f>
        <v>2729.4496221487198</v>
      </c>
      <c r="F28" s="143" cm="1">
        <f t="array" ref="F28">SUMPRODUCT(ISNUMBER(SEARCH('16 Water Heating Costs'!$E$42:$AE$42,'16 Water Heating Costs'!H12)) *'16 Water Heating Costs'!$E$52:$AE$52)</f>
        <v>1797.6064375964365</v>
      </c>
      <c r="G28" s="143" cm="1">
        <f t="array" ref="G28">SUMPRODUCT(ISNUMBER(SEARCH('16 Water Heating Costs'!$E$42:$AE$42,'16 Water Heating Costs'!I12)) *'16 Water Heating Costs'!$E$52:$AE$52)</f>
        <v>2729.4496221487198</v>
      </c>
      <c r="H28" s="150" cm="1">
        <f t="array" ref="H28">SUMPRODUCT(ISNUMBER(SEARCH('16 Water Heating Costs'!$E$42:$AE$42,'16 Water Heating Costs'!J12)) *'16 Water Heating Costs'!$E$52:$AE$52)</f>
        <v>3186.2799953321328</v>
      </c>
      <c r="I28"/>
      <c r="Q28" s="1105"/>
      <c r="R28" s="152" t="s">
        <v>86</v>
      </c>
      <c r="S28" s="143" cm="1">
        <f t="array" ref="S28">SUMPRODUCT(ISNUMBER(SEARCH('16 Water Heating Costs'!$E$42:$AE$42,'16 Water Heating Costs'!N12)) *'16 Water Heating Costs'!$E$52:$AE$52)</f>
        <v>3965.3257111068669</v>
      </c>
      <c r="T28" s="143" cm="1">
        <f t="array" ref="T28">SUMPRODUCT(ISNUMBER(SEARCH('16 Water Heating Costs'!$E$42:$AE$42,'16 Water Heating Costs'!O12)) *'16 Water Heating Costs'!$E$52:$AE$52)</f>
        <v>3508.4953379234544</v>
      </c>
      <c r="U28" s="143" cm="1">
        <f t="array" ref="U28">SUMPRODUCT(ISNUMBER(SEARCH('16 Water Heating Costs'!$E$42:$AE$42,'16 Water Heating Costs'!P12)) *'16 Water Heating Costs'!$E$52:$AE$52)</f>
        <v>2576.6521533711712</v>
      </c>
      <c r="V28" s="143" cm="1">
        <f t="array" ref="V28">SUMPRODUCT(ISNUMBER(SEARCH('16 Water Heating Costs'!$E$42:$AE$42,'16 Water Heating Costs'!Q12)) *'16 Water Heating Costs'!$E$52:$AE$52)</f>
        <v>3508.4953379234544</v>
      </c>
      <c r="W28" s="150" cm="1">
        <f t="array" ref="W28">SUMPRODUCT(ISNUMBER(SEARCH('16 Water Heating Costs'!$E$42:$AE$42,'16 Water Heating Costs'!R12)) *'16 Water Heating Costs'!$E$52:$AE$52)</f>
        <v>3965.3257111068669</v>
      </c>
      <c r="X28"/>
      <c r="AF28" s="1119"/>
      <c r="AG28" s="152" t="s">
        <v>86</v>
      </c>
      <c r="AH28" s="143" cm="1">
        <f t="array" ref="AH28">SUMPRODUCT(ISNUMBER(SEARCH('16 Water Heating Costs'!$E$42:$AE$42,'16 Water Heating Costs'!V12)) *'16 Water Heating Costs'!$E$52:$AE$52)</f>
        <v>2958.507937952128</v>
      </c>
      <c r="AI28" s="143" cm="1">
        <f t="array" ref="AI28">SUMPRODUCT(ISNUMBER(SEARCH('16 Water Heating Costs'!$E$42:$AE$42,'16 Water Heating Costs'!W12)) *'16 Water Heating Costs'!$E$52:$AE$52)</f>
        <v>2501.6775647687155</v>
      </c>
      <c r="AJ28" s="143" cm="1">
        <f t="array" ref="AJ28">SUMPRODUCT(ISNUMBER(SEARCH('16 Water Heating Costs'!$E$42:$AE$42,'16 Water Heating Costs'!X12)) *'16 Water Heating Costs'!$E$52:$AE$52)</f>
        <v>1569.834380216432</v>
      </c>
      <c r="AK28" s="143" cm="1">
        <f t="array" ref="AK28">SUMPRODUCT(ISNUMBER(SEARCH('16 Water Heating Costs'!$E$42:$AE$42,'16 Water Heating Costs'!Y12)) *'16 Water Heating Costs'!$E$52:$AE$52)</f>
        <v>2501.6775647687155</v>
      </c>
      <c r="AL28" s="150" cm="1">
        <f t="array" ref="AL28">SUMPRODUCT(ISNUMBER(SEARCH('16 Water Heating Costs'!$E$42:$AE$42,'16 Water Heating Costs'!Z12)) *'16 Water Heating Costs'!$E$52:$AE$52)</f>
        <v>2958.507937952128</v>
      </c>
      <c r="AM28" s="681"/>
      <c r="AN28" s="681"/>
      <c r="AO28" s="681"/>
      <c r="AP28" s="681"/>
      <c r="AQ28" s="681"/>
    </row>
    <row r="29" spans="1:46" s="5" customFormat="1" ht="200.1" customHeight="1" x14ac:dyDescent="0.25">
      <c r="B29" s="1105"/>
      <c r="C29" s="152" t="s">
        <v>242</v>
      </c>
      <c r="D29" s="143" cm="1">
        <f t="array" ref="D29">SUMPRODUCT(ISNUMBER(SEARCH('16 Water Heating Costs'!$E$42:$AE$42,'16 Water Heating Costs'!F13)) *'16 Water Heating Costs'!$E$52:$AE$52)</f>
        <v>3186.2799953321328</v>
      </c>
      <c r="E29" s="143" cm="1">
        <f t="array" ref="E29">SUMPRODUCT(ISNUMBER(SEARCH('16 Water Heating Costs'!$E$42:$AE$42,'16 Water Heating Costs'!G13)) *'16 Water Heating Costs'!$E$52:$AE$52)</f>
        <v>2729.4496221487198</v>
      </c>
      <c r="F29" s="143" cm="1">
        <f t="array" ref="F29">SUMPRODUCT(ISNUMBER(SEARCH('16 Water Heating Costs'!$E$42:$AE$42,'16 Water Heating Costs'!H13)) *'16 Water Heating Costs'!$E$52:$AE$52)</f>
        <v>2729.4496221487198</v>
      </c>
      <c r="G29" s="143" cm="1">
        <f t="array" ref="G29">SUMPRODUCT(ISNUMBER(SEARCH('16 Water Heating Costs'!$E$42:$AE$42,'16 Water Heating Costs'!I13)) *'16 Water Heating Costs'!$E$52:$AE$52)</f>
        <v>1797.6064375964365</v>
      </c>
      <c r="H29" s="150" cm="1">
        <f t="array" ref="H29">SUMPRODUCT(ISNUMBER(SEARCH('16 Water Heating Costs'!$E$42:$AE$42,'16 Water Heating Costs'!J13)) *'16 Water Heating Costs'!$E$52:$AE$52)</f>
        <v>3186.2799953321328</v>
      </c>
      <c r="I29"/>
      <c r="Q29" s="1105"/>
      <c r="R29" s="152" t="s">
        <v>242</v>
      </c>
      <c r="S29" s="143" cm="1">
        <f t="array" ref="S29">SUMPRODUCT(ISNUMBER(SEARCH('16 Water Heating Costs'!$E$42:$AE$42,'16 Water Heating Costs'!N13)) *'16 Water Heating Costs'!$E$52:$AE$52)</f>
        <v>3965.3257111068669</v>
      </c>
      <c r="T29" s="143" cm="1">
        <f t="array" ref="T29">SUMPRODUCT(ISNUMBER(SEARCH('16 Water Heating Costs'!$E$42:$AE$42,'16 Water Heating Costs'!O13)) *'16 Water Heating Costs'!$E$52:$AE$52)</f>
        <v>3508.4953379234544</v>
      </c>
      <c r="U29" s="143" cm="1">
        <f t="array" ref="U29">SUMPRODUCT(ISNUMBER(SEARCH('16 Water Heating Costs'!$E$42:$AE$42,'16 Water Heating Costs'!P13)) *'16 Water Heating Costs'!$E$52:$AE$52)</f>
        <v>3508.4953379234544</v>
      </c>
      <c r="V29" s="143" cm="1">
        <f t="array" ref="V29">SUMPRODUCT(ISNUMBER(SEARCH('16 Water Heating Costs'!$E$42:$AE$42,'16 Water Heating Costs'!Q13)) *'16 Water Heating Costs'!$E$52:$AE$52)</f>
        <v>2576.6521533711712</v>
      </c>
      <c r="W29" s="150" cm="1">
        <f t="array" ref="W29">SUMPRODUCT(ISNUMBER(SEARCH('16 Water Heating Costs'!$E$42:$AE$42,'16 Water Heating Costs'!R13)) *'16 Water Heating Costs'!$E$52:$AE$52)</f>
        <v>3965.3257111068669</v>
      </c>
      <c r="X29"/>
      <c r="AF29" s="1119"/>
      <c r="AG29" s="152" t="s">
        <v>242</v>
      </c>
      <c r="AH29" s="143" cm="1">
        <f t="array" ref="AH29">SUMPRODUCT(ISNUMBER(SEARCH('16 Water Heating Costs'!$E$42:$AE$42,'16 Water Heating Costs'!V13)) *'16 Water Heating Costs'!$E$52:$AE$52)</f>
        <v>2958.507937952128</v>
      </c>
      <c r="AI29" s="143" cm="1">
        <f t="array" ref="AI29">SUMPRODUCT(ISNUMBER(SEARCH('16 Water Heating Costs'!$E$42:$AE$42,'16 Water Heating Costs'!W13)) *'16 Water Heating Costs'!$E$52:$AE$52)</f>
        <v>2501.6775647687155</v>
      </c>
      <c r="AJ29" s="143" cm="1">
        <f t="array" ref="AJ29">SUMPRODUCT(ISNUMBER(SEARCH('16 Water Heating Costs'!$E$42:$AE$42,'16 Water Heating Costs'!X13)) *'16 Water Heating Costs'!$E$52:$AE$52)</f>
        <v>2501.6775647687155</v>
      </c>
      <c r="AK29" s="143" cm="1">
        <f t="array" ref="AK29">SUMPRODUCT(ISNUMBER(SEARCH('16 Water Heating Costs'!$E$42:$AE$42,'16 Water Heating Costs'!Y13)) *'16 Water Heating Costs'!$E$52:$AE$52)</f>
        <v>1569.834380216432</v>
      </c>
      <c r="AL29" s="150" cm="1">
        <f t="array" ref="AL29">SUMPRODUCT(ISNUMBER(SEARCH('16 Water Heating Costs'!$E$42:$AE$42,'16 Water Heating Costs'!Z13)) *'16 Water Heating Costs'!$E$52:$AE$52)</f>
        <v>2958.507937952128</v>
      </c>
      <c r="AM29" s="681"/>
      <c r="AN29" s="681"/>
      <c r="AO29" s="681"/>
      <c r="AP29" s="681"/>
      <c r="AQ29" s="681"/>
    </row>
    <row r="30" spans="1:46" s="5" customFormat="1" ht="200.1" customHeight="1" thickBot="1" x14ac:dyDescent="0.3">
      <c r="B30" s="1106"/>
      <c r="C30" s="153" t="s">
        <v>172</v>
      </c>
      <c r="D30" s="690"/>
      <c r="E30" s="690"/>
      <c r="F30" s="690"/>
      <c r="G30" s="690"/>
      <c r="H30" s="688"/>
      <c r="I30"/>
      <c r="Q30" s="1106"/>
      <c r="R30" s="153" t="s">
        <v>172</v>
      </c>
      <c r="S30" s="690"/>
      <c r="T30" s="690"/>
      <c r="U30" s="690"/>
      <c r="V30" s="690"/>
      <c r="W30" s="688"/>
      <c r="X30"/>
      <c r="AF30" s="1120"/>
      <c r="AG30" s="153" t="s">
        <v>172</v>
      </c>
      <c r="AH30" s="690"/>
      <c r="AI30" s="690"/>
      <c r="AJ30" s="690"/>
      <c r="AK30" s="690"/>
      <c r="AL30" s="688"/>
      <c r="AM30" s="681"/>
      <c r="AN30" s="681"/>
      <c r="AO30" s="681"/>
      <c r="AP30" s="681"/>
      <c r="AQ30" s="681"/>
    </row>
    <row r="31" spans="1:46" s="59" customFormat="1" ht="80.099999999999994" customHeight="1" thickBot="1" x14ac:dyDescent="0.3">
      <c r="A31" s="154"/>
      <c r="B31"/>
      <c r="C31"/>
      <c r="D31"/>
      <c r="E31"/>
      <c r="F31"/>
      <c r="G31"/>
      <c r="H31"/>
      <c r="I31"/>
      <c r="J31" s="5"/>
      <c r="K31" s="5"/>
      <c r="L31" s="5"/>
      <c r="M31" s="5"/>
      <c r="N31" s="5"/>
      <c r="O31" s="5"/>
      <c r="P31" s="5"/>
      <c r="Q31"/>
      <c r="R31"/>
      <c r="S31"/>
      <c r="T31"/>
      <c r="U31"/>
      <c r="V31"/>
      <c r="W31"/>
      <c r="X31"/>
      <c r="Y31" s="5"/>
      <c r="Z31" s="5"/>
      <c r="AA31" s="5"/>
      <c r="AB31" s="5"/>
      <c r="AC31" s="5"/>
      <c r="AD31" s="5"/>
      <c r="AE31" s="5"/>
      <c r="AF31"/>
      <c r="AG31"/>
      <c r="AH31"/>
      <c r="AI31"/>
      <c r="AJ31"/>
      <c r="AK31"/>
      <c r="AL31"/>
    </row>
    <row r="32" spans="1:46" ht="175.15" customHeight="1" x14ac:dyDescent="0.25">
      <c r="A32" s="60"/>
      <c r="B32" s="1107" t="s">
        <v>1073</v>
      </c>
      <c r="C32" s="1108"/>
      <c r="D32" s="1108"/>
      <c r="E32" s="1108"/>
      <c r="F32" s="1108"/>
      <c r="G32" s="1108"/>
      <c r="H32" s="1109"/>
      <c r="I32"/>
      <c r="P32" s="5"/>
      <c r="Q32" s="1107" t="s">
        <v>1072</v>
      </c>
      <c r="R32" s="1108"/>
      <c r="S32" s="1108"/>
      <c r="T32" s="1108"/>
      <c r="U32" s="1108"/>
      <c r="V32" s="1108"/>
      <c r="W32" s="1109"/>
      <c r="X32"/>
      <c r="Y32" s="5"/>
      <c r="Z32" s="5"/>
      <c r="AA32" s="5"/>
      <c r="AB32" s="5"/>
      <c r="AC32" s="5"/>
      <c r="AD32" s="5"/>
      <c r="AE32" s="5"/>
      <c r="AF32" s="1107" t="s">
        <v>1076</v>
      </c>
      <c r="AG32" s="1108"/>
      <c r="AH32" s="1108"/>
      <c r="AI32" s="1108"/>
      <c r="AJ32" s="1108"/>
      <c r="AK32" s="1108"/>
      <c r="AL32" s="1109"/>
    </row>
    <row r="33" spans="1:38" ht="79.900000000000006" customHeight="1" x14ac:dyDescent="0.25">
      <c r="A33" s="60"/>
      <c r="B33" s="1110" t="s">
        <v>977</v>
      </c>
      <c r="C33" s="1111"/>
      <c r="D33" s="1116" t="s">
        <v>951</v>
      </c>
      <c r="E33" s="1117"/>
      <c r="F33" s="1117"/>
      <c r="G33" s="1117"/>
      <c r="H33" s="1118"/>
      <c r="I33"/>
      <c r="P33" s="5"/>
      <c r="Q33" s="1110" t="s">
        <v>977</v>
      </c>
      <c r="R33" s="1111"/>
      <c r="S33" s="1116" t="s">
        <v>951</v>
      </c>
      <c r="T33" s="1117"/>
      <c r="U33" s="1117"/>
      <c r="V33" s="1117"/>
      <c r="W33" s="1118"/>
      <c r="X33"/>
      <c r="Y33" s="5"/>
      <c r="Z33" s="5"/>
      <c r="AA33" s="5"/>
      <c r="AB33" s="5"/>
      <c r="AC33" s="5"/>
      <c r="AD33" s="5"/>
      <c r="AE33" s="5"/>
      <c r="AF33" s="1110" t="s">
        <v>977</v>
      </c>
      <c r="AG33" s="1111"/>
      <c r="AH33" s="1116" t="s">
        <v>951</v>
      </c>
      <c r="AI33" s="1117"/>
      <c r="AJ33" s="1117"/>
      <c r="AK33" s="1117"/>
      <c r="AL33" s="1118"/>
    </row>
    <row r="34" spans="1:38" ht="79.900000000000006" customHeight="1" x14ac:dyDescent="0.25">
      <c r="A34" s="60"/>
      <c r="B34" s="1112"/>
      <c r="C34" s="1113"/>
      <c r="D34" s="1121" t="s">
        <v>246</v>
      </c>
      <c r="E34" s="1121" t="s">
        <v>244</v>
      </c>
      <c r="F34" s="1121" t="s">
        <v>86</v>
      </c>
      <c r="G34" s="1121" t="s">
        <v>242</v>
      </c>
      <c r="H34" s="1123" t="s">
        <v>172</v>
      </c>
      <c r="I34"/>
      <c r="P34" s="5"/>
      <c r="Q34" s="1112"/>
      <c r="R34" s="1113"/>
      <c r="S34" s="1121" t="s">
        <v>246</v>
      </c>
      <c r="T34" s="1121" t="s">
        <v>244</v>
      </c>
      <c r="U34" s="1121" t="s">
        <v>86</v>
      </c>
      <c r="V34" s="1121" t="s">
        <v>242</v>
      </c>
      <c r="W34" s="1123" t="s">
        <v>172</v>
      </c>
      <c r="X34"/>
      <c r="Y34" s="5"/>
      <c r="Z34" s="5"/>
      <c r="AA34" s="5"/>
      <c r="AB34" s="5"/>
      <c r="AC34" s="5"/>
      <c r="AD34" s="5"/>
      <c r="AE34" s="5"/>
      <c r="AF34" s="1112"/>
      <c r="AG34" s="1113"/>
      <c r="AH34" s="668" t="s">
        <v>246</v>
      </c>
      <c r="AI34" s="668" t="s">
        <v>244</v>
      </c>
      <c r="AJ34" s="668" t="s">
        <v>86</v>
      </c>
      <c r="AK34" s="668" t="s">
        <v>242</v>
      </c>
      <c r="AL34" s="677" t="s">
        <v>172</v>
      </c>
    </row>
    <row r="35" spans="1:38" ht="79.900000000000006" customHeight="1" x14ac:dyDescent="0.25">
      <c r="A35" s="60"/>
      <c r="B35" s="1114"/>
      <c r="C35" s="1115"/>
      <c r="D35" s="1122"/>
      <c r="E35" s="1122"/>
      <c r="F35" s="1122"/>
      <c r="G35" s="1122"/>
      <c r="H35" s="1124"/>
      <c r="I35"/>
      <c r="P35" s="5"/>
      <c r="Q35" s="1114"/>
      <c r="R35" s="1115"/>
      <c r="S35" s="1122"/>
      <c r="T35" s="1122"/>
      <c r="U35" s="1122"/>
      <c r="V35" s="1122"/>
      <c r="W35" s="1124"/>
      <c r="X35"/>
      <c r="Y35" s="5"/>
      <c r="Z35" s="5"/>
      <c r="AA35" s="5"/>
      <c r="AB35" s="5"/>
      <c r="AC35" s="5"/>
      <c r="AD35" s="5"/>
      <c r="AE35" s="5"/>
      <c r="AF35" s="1114"/>
      <c r="AG35" s="1115"/>
      <c r="AH35" s="179"/>
      <c r="AI35" s="179"/>
      <c r="AJ35" s="179"/>
      <c r="AK35" s="179"/>
      <c r="AL35" s="180"/>
    </row>
    <row r="36" spans="1:38" ht="199.9" customHeight="1" x14ac:dyDescent="0.25">
      <c r="A36" s="60"/>
      <c r="B36" s="1104" t="s">
        <v>989</v>
      </c>
      <c r="C36" s="149" t="s">
        <v>246</v>
      </c>
      <c r="D36" s="687"/>
      <c r="E36" s="143" cm="1">
        <f t="array" ref="E36">SUMPRODUCT(ISNUMBER(SEARCH('16 Water Heating Costs'!$E$42:$AE$42,'16 Water Heating Costs'!G22)) *'16 Water Heating Costs'!$E$52:$AE$52)</f>
        <v>995.93657635545935</v>
      </c>
      <c r="F36" s="143" cm="1">
        <f t="array" ref="F36">SUMPRODUCT(ISNUMBER(SEARCH('16 Water Heating Costs'!$E$42:$AE$42,'16 Water Heating Costs'!H22)) *'16 Water Heating Costs'!$E$52:$AE$52)</f>
        <v>995.93657635545935</v>
      </c>
      <c r="G36" s="143" cm="1">
        <f t="array" ref="G36">SUMPRODUCT(ISNUMBER(SEARCH('16 Water Heating Costs'!$E$42:$AE$42,'16 Water Heating Costs'!I22)) *'16 Water Heating Costs'!$E$52:$AE$52)</f>
        <v>995.93657635545935</v>
      </c>
      <c r="H36" s="150" cm="1">
        <f t="array" ref="H36">SUMPRODUCT(ISNUMBER(SEARCH('16 Water Heating Costs'!$E$42:$AE$42,'16 Water Heating Costs'!J22)) *'16 Water Heating Costs'!$E$52:$AE$52)</f>
        <v>795.2121519754628</v>
      </c>
      <c r="I36"/>
      <c r="P36" s="5"/>
      <c r="Q36" s="1104" t="s">
        <v>989</v>
      </c>
      <c r="R36" s="149" t="s">
        <v>246</v>
      </c>
      <c r="S36" s="687"/>
      <c r="T36" s="143" cm="1">
        <f t="array" ref="T36">SUMPRODUCT(ISNUMBER(SEARCH('16 Water Heating Costs'!$E$42:$AE$42,'16 Water Heating Costs'!O22)) *'16 Water Heating Costs'!$E$52:$AE$52)</f>
        <v>995.93657635545935</v>
      </c>
      <c r="U36" s="143" cm="1">
        <f t="array" ref="U36">SUMPRODUCT(ISNUMBER(SEARCH('16 Water Heating Costs'!$E$42:$AE$42,'16 Water Heating Costs'!P22)) *'16 Water Heating Costs'!$E$52:$AE$52)</f>
        <v>995.93657635545935</v>
      </c>
      <c r="V36" s="143" cm="1">
        <f t="array" ref="V36">SUMPRODUCT(ISNUMBER(SEARCH('16 Water Heating Costs'!$E$42:$AE$42,'16 Water Heating Costs'!Q22)) *'16 Water Heating Costs'!$E$52:$AE$52)</f>
        <v>995.93657635545935</v>
      </c>
      <c r="W36" s="150" cm="1">
        <f t="array" ref="W36">SUMPRODUCT(ISNUMBER(SEARCH('16 Water Heating Costs'!$E$42:$AE$42,'16 Water Heating Costs'!R22)) *'16 Water Heating Costs'!$E$52:$AE$52)</f>
        <v>795.2121519754628</v>
      </c>
      <c r="X36"/>
      <c r="Y36" s="5"/>
      <c r="Z36" s="5"/>
      <c r="AA36" s="5"/>
      <c r="AB36" s="5"/>
      <c r="AC36" s="5"/>
      <c r="AD36" s="5"/>
      <c r="AE36" s="5"/>
      <c r="AF36" s="1104" t="s">
        <v>989</v>
      </c>
      <c r="AG36" s="149" t="s">
        <v>246</v>
      </c>
      <c r="AH36" s="687"/>
      <c r="AI36" s="143" cm="1">
        <f t="array" ref="AI36">SUMPRODUCT(ISNUMBER(SEARCH('16 Water Heating Costs'!$E$42:$AE$42,'16 Water Heating Costs'!W22)) *'16 Water Heating Costs'!$E$52:$AE$52)</f>
        <v>995.93657635545935</v>
      </c>
      <c r="AJ36" s="143" cm="1">
        <f t="array" ref="AJ36">SUMPRODUCT(ISNUMBER(SEARCH('16 Water Heating Costs'!$E$42:$AE$42,'16 Water Heating Costs'!X22)) *'16 Water Heating Costs'!$E$52:$AE$52)</f>
        <v>995.93657635545935</v>
      </c>
      <c r="AK36" s="143" cm="1">
        <f t="array" ref="AK36">SUMPRODUCT(ISNUMBER(SEARCH('16 Water Heating Costs'!$E$42:$AE$42,'16 Water Heating Costs'!Y22)) *'16 Water Heating Costs'!$E$52:$AE$52)</f>
        <v>995.93657635545935</v>
      </c>
      <c r="AL36" s="150" cm="1">
        <f t="array" ref="AL36">SUMPRODUCT(ISNUMBER(SEARCH('16 Water Heating Costs'!$E$42:$AE$42,'16 Water Heating Costs'!Z22)) *'16 Water Heating Costs'!$E$52:$AE$52)</f>
        <v>795.2121519754628</v>
      </c>
    </row>
    <row r="37" spans="1:38" ht="199.9" customHeight="1" x14ac:dyDescent="0.25">
      <c r="A37" s="60"/>
      <c r="B37" s="1105"/>
      <c r="C37" s="152" t="s">
        <v>244</v>
      </c>
      <c r="D37" s="143" cm="1">
        <f t="array" ref="D37">SUMPRODUCT(ISNUMBER(SEARCH('16 Water Heating Costs'!$E$42:$AE$42,'16 Water Heating Costs'!F23)) *'16 Water Heating Costs'!$E$52:$AE$52)</f>
        <v>1071.9167767380684</v>
      </c>
      <c r="E37" s="687"/>
      <c r="F37" s="143" cm="1">
        <f t="array" ref="F37">SUMPRODUCT(ISNUMBER(SEARCH('16 Water Heating Costs'!$E$42:$AE$42,'16 Water Heating Costs'!H23)) *'16 Water Heating Costs'!$E$52:$AE$52)</f>
        <v>615.08640355465604</v>
      </c>
      <c r="G37" s="143" cm="1">
        <f t="array" ref="G37">SUMPRODUCT(ISNUMBER(SEARCH('16 Water Heating Costs'!$E$42:$AE$42,'16 Water Heating Costs'!I23)) *'16 Water Heating Costs'!$E$52:$AE$52)</f>
        <v>615.08640355465604</v>
      </c>
      <c r="H37" s="150" cm="1">
        <f t="array" ref="H37">SUMPRODUCT(ISNUMBER(SEARCH('16 Water Heating Costs'!$E$42:$AE$42,'16 Water Heating Costs'!J23)) *'16 Water Heating Costs'!$E$52:$AE$52)</f>
        <v>1071.9167767380684</v>
      </c>
      <c r="I37"/>
      <c r="P37" s="5"/>
      <c r="Q37" s="1105"/>
      <c r="R37" s="152" t="s">
        <v>244</v>
      </c>
      <c r="S37" s="143" cm="1">
        <f t="array" ref="S37">SUMPRODUCT(ISNUMBER(SEARCH('16 Water Heating Costs'!$E$42:$AE$42,'16 Water Heating Costs'!N23)) *'16 Water Heating Costs'!$E$52:$AE$52)</f>
        <v>1071.9167767380684</v>
      </c>
      <c r="T37" s="687"/>
      <c r="U37" s="143" cm="1">
        <f t="array" ref="U37">SUMPRODUCT(ISNUMBER(SEARCH('16 Water Heating Costs'!$E$42:$AE$42,'16 Water Heating Costs'!P23)) *'16 Water Heating Costs'!$E$52:$AE$52)</f>
        <v>615.08640355465604</v>
      </c>
      <c r="V37" s="143" cm="1">
        <f t="array" ref="V37">SUMPRODUCT(ISNUMBER(SEARCH('16 Water Heating Costs'!$E$42:$AE$42,'16 Water Heating Costs'!Q23)) *'16 Water Heating Costs'!$E$52:$AE$52)</f>
        <v>615.08640355465604</v>
      </c>
      <c r="W37" s="150" cm="1">
        <f t="array" ref="W37">SUMPRODUCT(ISNUMBER(SEARCH('16 Water Heating Costs'!$E$42:$AE$42,'16 Water Heating Costs'!R23)) *'16 Water Heating Costs'!$E$52:$AE$52)</f>
        <v>1071.9167767380684</v>
      </c>
      <c r="X37"/>
      <c r="Y37" s="5"/>
      <c r="Z37" s="5"/>
      <c r="AA37" s="5"/>
      <c r="AB37" s="5"/>
      <c r="AC37" s="5"/>
      <c r="AD37" s="5"/>
      <c r="AE37" s="5"/>
      <c r="AF37" s="1119"/>
      <c r="AG37" s="152" t="s">
        <v>244</v>
      </c>
      <c r="AH37" s="143" cm="1">
        <f t="array" ref="AH37">SUMPRODUCT(ISNUMBER(SEARCH('16 Water Heating Costs'!$E$42:$AE$42,'16 Water Heating Costs'!V23)) *'16 Water Heating Costs'!$E$52:$AE$52)</f>
        <v>1071.9167767380684</v>
      </c>
      <c r="AI37" s="687"/>
      <c r="AJ37" s="143" cm="1">
        <f t="array" ref="AJ37">SUMPRODUCT(ISNUMBER(SEARCH('16 Water Heating Costs'!$E$42:$AE$42,'16 Water Heating Costs'!X23)) *'16 Water Heating Costs'!$E$52:$AE$52)</f>
        <v>615.08640355465604</v>
      </c>
      <c r="AK37" s="143" cm="1">
        <f t="array" ref="AK37">SUMPRODUCT(ISNUMBER(SEARCH('16 Water Heating Costs'!$E$42:$AE$42,'16 Water Heating Costs'!Y23)) *'16 Water Heating Costs'!$E$52:$AE$52)</f>
        <v>615.08640355465604</v>
      </c>
      <c r="AL37" s="150" cm="1">
        <f t="array" ref="AL37">SUMPRODUCT(ISNUMBER(SEARCH('16 Water Heating Costs'!$E$42:$AE$42,'16 Water Heating Costs'!Z23)) *'16 Water Heating Costs'!$E$52:$AE$52)</f>
        <v>1071.9167767380684</v>
      </c>
    </row>
    <row r="38" spans="1:38" s="61" customFormat="1" ht="199.9" customHeight="1" x14ac:dyDescent="0.25">
      <c r="A38" s="60"/>
      <c r="B38" s="1105"/>
      <c r="C38" s="152" t="s">
        <v>86</v>
      </c>
      <c r="D38" s="143" cm="1">
        <f t="array" ref="D38">SUMPRODUCT(ISNUMBER(SEARCH('16 Water Heating Costs'!$E$42:$AE$42,'16 Water Heating Costs'!F24)) *'16 Water Heating Costs'!$E$52:$AE$52)</f>
        <v>1574.4745354128402</v>
      </c>
      <c r="E38" s="143" cm="1">
        <f t="array" ref="E38">SUMPRODUCT(ISNUMBER(SEARCH('16 Water Heating Costs'!$E$42:$AE$42,'16 Water Heating Costs'!G24)) *'16 Water Heating Costs'!$E$52:$AE$52)</f>
        <v>1117.6441622294278</v>
      </c>
      <c r="F38" s="687"/>
      <c r="G38" s="143" cm="1">
        <f t="array" ref="G38">SUMPRODUCT(ISNUMBER(SEARCH('16 Water Heating Costs'!$E$42:$AE$42,'16 Water Heating Costs'!I24)) *'16 Water Heating Costs'!$E$52:$AE$52)</f>
        <v>1117.6441622294278</v>
      </c>
      <c r="H38" s="150" cm="1">
        <f t="array" ref="H38">SUMPRODUCT(ISNUMBER(SEARCH('16 Water Heating Costs'!$E$42:$AE$42,'16 Water Heating Costs'!J24)) *'16 Water Heating Costs'!$E$52:$AE$52)</f>
        <v>1574.4745354128402</v>
      </c>
      <c r="I38"/>
      <c r="J38" s="5"/>
      <c r="K38" s="5"/>
      <c r="L38" s="5"/>
      <c r="M38" s="5"/>
      <c r="N38" s="5"/>
      <c r="O38" s="5"/>
      <c r="P38" s="5"/>
      <c r="Q38" s="1105"/>
      <c r="R38" s="152" t="s">
        <v>86</v>
      </c>
      <c r="S38" s="143" cm="1">
        <f t="array" ref="S38">SUMPRODUCT(ISNUMBER(SEARCH('16 Water Heating Costs'!$E$42:$AE$42,'16 Water Heating Costs'!N24)) *'16 Water Heating Costs'!$E$52:$AE$52)</f>
        <v>1749.1484627165923</v>
      </c>
      <c r="T38" s="143" cm="1">
        <f t="array" ref="T38">SUMPRODUCT(ISNUMBER(SEARCH('16 Water Heating Costs'!$E$42:$AE$42,'16 Water Heating Costs'!O24)) *'16 Water Heating Costs'!$E$52:$AE$52)</f>
        <v>1292.31808953318</v>
      </c>
      <c r="U38" s="687"/>
      <c r="V38" s="143" cm="1">
        <f t="array" ref="V38">SUMPRODUCT(ISNUMBER(SEARCH('16 Water Heating Costs'!$E$42:$AE$42,'16 Water Heating Costs'!Q24)) *'16 Water Heating Costs'!$E$52:$AE$52)</f>
        <v>1292.31808953318</v>
      </c>
      <c r="W38" s="150" cm="1">
        <f t="array" ref="W38">SUMPRODUCT(ISNUMBER(SEARCH('16 Water Heating Costs'!$E$42:$AE$42,'16 Water Heating Costs'!R24)) *'16 Water Heating Costs'!$E$52:$AE$52)</f>
        <v>1749.1484627165923</v>
      </c>
      <c r="X38"/>
      <c r="Y38" s="5"/>
      <c r="Z38" s="5"/>
      <c r="AA38" s="5"/>
      <c r="AB38" s="5"/>
      <c r="AC38" s="5"/>
      <c r="AD38" s="5"/>
      <c r="AE38" s="5"/>
      <c r="AF38" s="1119"/>
      <c r="AG38" s="152" t="s">
        <v>86</v>
      </c>
      <c r="AH38" s="143" cm="1">
        <f t="array" ref="AH38">SUMPRODUCT(ISNUMBER(SEARCH('16 Water Heating Costs'!$E$42:$AE$42,'16 Water Heating Costs'!V24)) *'16 Water Heating Costs'!$E$52:$AE$52)</f>
        <v>1523.4045673904177</v>
      </c>
      <c r="AI38" s="143" cm="1">
        <f t="array" ref="AI38">SUMPRODUCT(ISNUMBER(SEARCH('16 Water Heating Costs'!$E$42:$AE$42,'16 Water Heating Costs'!W24)) *'16 Water Heating Costs'!$E$52:$AE$52)</f>
        <v>1066.5741942070053</v>
      </c>
      <c r="AJ38" s="687"/>
      <c r="AK38" s="143" cm="1">
        <f t="array" ref="AK38">SUMPRODUCT(ISNUMBER(SEARCH('16 Water Heating Costs'!$E$42:$AE$42,'16 Water Heating Costs'!Y24)) *'16 Water Heating Costs'!$E$52:$AE$52)</f>
        <v>1066.5741942070053</v>
      </c>
      <c r="AL38" s="150" cm="1">
        <f t="array" ref="AL38">SUMPRODUCT(ISNUMBER(SEARCH('16 Water Heating Costs'!$E$42:$AE$42,'16 Water Heating Costs'!Z24)) *'16 Water Heating Costs'!$E$52:$AE$52)</f>
        <v>1523.4045673904177</v>
      </c>
    </row>
    <row r="39" spans="1:38" ht="199.9" customHeight="1" x14ac:dyDescent="0.25">
      <c r="B39" s="1105"/>
      <c r="C39" s="152" t="s">
        <v>242</v>
      </c>
      <c r="D39" s="143" cm="1">
        <f t="array" ref="D39">SUMPRODUCT(ISNUMBER(SEARCH('16 Water Heating Costs'!$E$42:$AE$42,'16 Water Heating Costs'!F25)) *'16 Water Heating Costs'!$E$52:$AE$52)</f>
        <v>1574.4745354128402</v>
      </c>
      <c r="E39" s="143" cm="1">
        <f t="array" ref="E39">SUMPRODUCT(ISNUMBER(SEARCH('16 Water Heating Costs'!$E$42:$AE$42,'16 Water Heating Costs'!G25)) *'16 Water Heating Costs'!$E$52:$AE$52)</f>
        <v>1117.6441622294278</v>
      </c>
      <c r="F39" s="143" cm="1">
        <f t="array" ref="F39">SUMPRODUCT(ISNUMBER(SEARCH('16 Water Heating Costs'!$E$42:$AE$42,'16 Water Heating Costs'!H25)) *'16 Water Heating Costs'!$E$52:$AE$52)</f>
        <v>1117.6441622294278</v>
      </c>
      <c r="G39" s="687"/>
      <c r="H39" s="150" cm="1">
        <f t="array" ref="H39">SUMPRODUCT(ISNUMBER(SEARCH('16 Water Heating Costs'!$E$42:$AE$42,'16 Water Heating Costs'!J25)) *'16 Water Heating Costs'!$E$52:$AE$52)</f>
        <v>1574.4745354128402</v>
      </c>
      <c r="I39"/>
      <c r="P39" s="5"/>
      <c r="Q39" s="1105"/>
      <c r="R39" s="152" t="s">
        <v>242</v>
      </c>
      <c r="S39" s="143" cm="1">
        <f t="array" ref="S39">SUMPRODUCT(ISNUMBER(SEARCH('16 Water Heating Costs'!$E$42:$AE$42,'16 Water Heating Costs'!N25)) *'16 Water Heating Costs'!$E$52:$AE$52)</f>
        <v>1749.1484627165923</v>
      </c>
      <c r="T39" s="143" cm="1">
        <f t="array" ref="T39">SUMPRODUCT(ISNUMBER(SEARCH('16 Water Heating Costs'!$E$42:$AE$42,'16 Water Heating Costs'!O25)) *'16 Water Heating Costs'!$E$52:$AE$52)</f>
        <v>1292.31808953318</v>
      </c>
      <c r="U39" s="143" cm="1">
        <f t="array" ref="U39">SUMPRODUCT(ISNUMBER(SEARCH('16 Water Heating Costs'!$E$42:$AE$42,'16 Water Heating Costs'!P25)) *'16 Water Heating Costs'!$E$52:$AE$52)</f>
        <v>1292.31808953318</v>
      </c>
      <c r="V39" s="687"/>
      <c r="W39" s="150" cm="1">
        <f t="array" ref="W39">SUMPRODUCT(ISNUMBER(SEARCH('16 Water Heating Costs'!$E$42:$AE$42,'16 Water Heating Costs'!R25)) *'16 Water Heating Costs'!$E$52:$AE$52)</f>
        <v>1749.1484627165923</v>
      </c>
      <c r="X39"/>
      <c r="Y39" s="5"/>
      <c r="Z39" s="5"/>
      <c r="AA39" s="5"/>
      <c r="AB39" s="5"/>
      <c r="AC39" s="5"/>
      <c r="AD39" s="5"/>
      <c r="AE39" s="5"/>
      <c r="AF39" s="1119"/>
      <c r="AG39" s="152" t="s">
        <v>242</v>
      </c>
      <c r="AH39" s="143" cm="1">
        <f t="array" ref="AH39">SUMPRODUCT(ISNUMBER(SEARCH('16 Water Heating Costs'!$E$42:$AE$42,'16 Water Heating Costs'!V25)) *'16 Water Heating Costs'!$E$52:$AE$52)</f>
        <v>1523.4045673904177</v>
      </c>
      <c r="AI39" s="143" cm="1">
        <f t="array" ref="AI39">SUMPRODUCT(ISNUMBER(SEARCH('16 Water Heating Costs'!$E$42:$AE$42,'16 Water Heating Costs'!W25)) *'16 Water Heating Costs'!$E$52:$AE$52)</f>
        <v>1066.5741942070053</v>
      </c>
      <c r="AJ39" s="143" cm="1">
        <f t="array" ref="AJ39">SUMPRODUCT(ISNUMBER(SEARCH('16 Water Heating Costs'!$E$42:$AE$42,'16 Water Heating Costs'!X25)) *'16 Water Heating Costs'!$E$52:$AE$52)</f>
        <v>1066.5741942070053</v>
      </c>
      <c r="AK39" s="687"/>
      <c r="AL39" s="150" cm="1">
        <f t="array" ref="AL39">SUMPRODUCT(ISNUMBER(SEARCH('16 Water Heating Costs'!$E$42:$AE$42,'16 Water Heating Costs'!Z25)) *'16 Water Heating Costs'!$E$52:$AE$52)</f>
        <v>1523.4045673904177</v>
      </c>
    </row>
    <row r="40" spans="1:38" ht="199.9" customHeight="1" thickBot="1" x14ac:dyDescent="0.3">
      <c r="A40" s="60"/>
      <c r="B40" s="1106"/>
      <c r="C40" s="153" t="s">
        <v>172</v>
      </c>
      <c r="D40" s="354" cm="1">
        <f t="array" ref="D40">SUMPRODUCT(ISNUMBER(SEARCH('16 Water Heating Costs'!$E$42:$AE$42,'16 Water Heating Costs'!F26)) *'16 Water Heating Costs'!$E$52:$AE$52)</f>
        <v>80</v>
      </c>
      <c r="E40" s="354" cm="1">
        <f t="array" ref="E40">SUMPRODUCT(ISNUMBER(SEARCH('16 Water Heating Costs'!$E$42:$AE$42,'16 Water Heating Costs'!G26)) *'16 Water Heating Costs'!$E$52:$AE$52)</f>
        <v>995.93657635545935</v>
      </c>
      <c r="F40" s="354" cm="1">
        <f t="array" ref="F40">SUMPRODUCT(ISNUMBER(SEARCH('16 Water Heating Costs'!$E$42:$AE$42,'16 Water Heating Costs'!H26)) *'16 Water Heating Costs'!$E$52:$AE$52)</f>
        <v>995.93657635545935</v>
      </c>
      <c r="G40" s="354" cm="1">
        <f t="array" ref="G40">SUMPRODUCT(ISNUMBER(SEARCH('16 Water Heating Costs'!$E$42:$AE$42,'16 Water Heating Costs'!I26)) *'16 Water Heating Costs'!$E$52:$AE$52)</f>
        <v>995.93657635545935</v>
      </c>
      <c r="H40" s="688"/>
      <c r="I40"/>
      <c r="P40" s="5"/>
      <c r="Q40" s="1106"/>
      <c r="R40" s="153" t="s">
        <v>172</v>
      </c>
      <c r="S40" s="354" cm="1">
        <f t="array" ref="S40">SUMPRODUCT(ISNUMBER(SEARCH('16 Water Heating Costs'!$E$42:$AE$42,'16 Water Heating Costs'!N26)) *'16 Water Heating Costs'!$E$52:$AE$52)</f>
        <v>80</v>
      </c>
      <c r="T40" s="354" cm="1">
        <f t="array" ref="T40">SUMPRODUCT(ISNUMBER(SEARCH('16 Water Heating Costs'!$E$42:$AE$42,'16 Water Heating Costs'!O26)) *'16 Water Heating Costs'!$E$52:$AE$52)</f>
        <v>995.93657635545935</v>
      </c>
      <c r="U40" s="354" cm="1">
        <f t="array" ref="U40">SUMPRODUCT(ISNUMBER(SEARCH('16 Water Heating Costs'!$E$42:$AE$42,'16 Water Heating Costs'!P26)) *'16 Water Heating Costs'!$E$52:$AE$52)</f>
        <v>995.93657635545935</v>
      </c>
      <c r="V40" s="354" cm="1">
        <f t="array" ref="V40">SUMPRODUCT(ISNUMBER(SEARCH('16 Water Heating Costs'!$E$42:$AE$42,'16 Water Heating Costs'!Q26)) *'16 Water Heating Costs'!$E$52:$AE$52)</f>
        <v>995.93657635545935</v>
      </c>
      <c r="W40" s="688"/>
      <c r="X40"/>
      <c r="Y40" s="5"/>
      <c r="Z40" s="5"/>
      <c r="AA40" s="5"/>
      <c r="AB40" s="5"/>
      <c r="AC40" s="5"/>
      <c r="AD40" s="5"/>
      <c r="AE40" s="5"/>
      <c r="AF40" s="1120"/>
      <c r="AG40" s="153" t="s">
        <v>172</v>
      </c>
      <c r="AH40" s="354" cm="1">
        <f t="array" ref="AH40">SUMPRODUCT(ISNUMBER(SEARCH('16 Water Heating Costs'!$E$42:$AE$42,'16 Water Heating Costs'!V26)) *'16 Water Heating Costs'!$E$52:$AE$52)</f>
        <v>80</v>
      </c>
      <c r="AI40" s="354" cm="1">
        <f t="array" ref="AI40">SUMPRODUCT(ISNUMBER(SEARCH('16 Water Heating Costs'!$E$42:$AE$42,'16 Water Heating Costs'!W26)) *'16 Water Heating Costs'!$E$52:$AE$52)</f>
        <v>995.93657635545935</v>
      </c>
      <c r="AJ40" s="354" cm="1">
        <f t="array" ref="AJ40">SUMPRODUCT(ISNUMBER(SEARCH('16 Water Heating Costs'!$E$42:$AE$42,'16 Water Heating Costs'!X26)) *'16 Water Heating Costs'!$E$52:$AE$52)</f>
        <v>995.93657635545935</v>
      </c>
      <c r="AK40" s="354" cm="1">
        <f t="array" ref="AK40">SUMPRODUCT(ISNUMBER(SEARCH('16 Water Heating Costs'!$E$42:$AE$42,'16 Water Heating Costs'!Y26)) *'16 Water Heating Costs'!$E$52:$AE$52)</f>
        <v>995.93657635545935</v>
      </c>
      <c r="AL40" s="688"/>
    </row>
    <row r="41" spans="1:38" ht="79.900000000000006" customHeight="1" thickBot="1" x14ac:dyDescent="0.3">
      <c r="A41" s="60"/>
      <c r="B41"/>
      <c r="C41"/>
      <c r="D41"/>
      <c r="E41"/>
      <c r="F41"/>
      <c r="G41"/>
      <c r="H41"/>
      <c r="I41"/>
      <c r="P41" s="5"/>
      <c r="Q41"/>
      <c r="R41"/>
      <c r="S41"/>
      <c r="T41"/>
      <c r="U41"/>
      <c r="V41"/>
      <c r="W41"/>
      <c r="X41"/>
      <c r="Y41" s="5"/>
      <c r="Z41" s="5"/>
      <c r="AA41" s="5"/>
      <c r="AB41" s="5"/>
      <c r="AC41" s="5"/>
      <c r="AD41" s="5"/>
      <c r="AE41" s="5"/>
      <c r="AF41"/>
      <c r="AG41"/>
      <c r="AH41"/>
      <c r="AI41"/>
      <c r="AJ41"/>
      <c r="AK41"/>
      <c r="AL41"/>
    </row>
    <row r="42" spans="1:38" ht="216.75" customHeight="1" x14ac:dyDescent="0.25">
      <c r="A42" s="60"/>
      <c r="B42" s="1107" t="s">
        <v>1629</v>
      </c>
      <c r="C42" s="1108"/>
      <c r="D42" s="1108"/>
      <c r="E42" s="1108"/>
      <c r="F42" s="1108"/>
      <c r="G42" s="1108"/>
      <c r="H42" s="1109"/>
      <c r="I42"/>
      <c r="P42" s="5"/>
      <c r="Q42" s="1107" t="s">
        <v>1630</v>
      </c>
      <c r="R42" s="1108"/>
      <c r="S42" s="1108"/>
      <c r="T42" s="1108"/>
      <c r="U42" s="1108"/>
      <c r="V42" s="1108"/>
      <c r="W42" s="1109"/>
      <c r="X42"/>
      <c r="Y42" s="5"/>
      <c r="Z42" s="5"/>
      <c r="AA42" s="5"/>
      <c r="AB42" s="5"/>
      <c r="AC42" s="5"/>
      <c r="AD42" s="5"/>
      <c r="AE42" s="5"/>
      <c r="AF42" s="1107" t="s">
        <v>1631</v>
      </c>
      <c r="AG42" s="1108"/>
      <c r="AH42" s="1108"/>
      <c r="AI42" s="1108"/>
      <c r="AJ42" s="1108"/>
      <c r="AK42" s="1108"/>
      <c r="AL42" s="1109"/>
    </row>
    <row r="43" spans="1:38" ht="79.900000000000006" customHeight="1" x14ac:dyDescent="0.25">
      <c r="A43" s="60"/>
      <c r="B43" s="1110" t="s">
        <v>977</v>
      </c>
      <c r="C43" s="1111"/>
      <c r="D43" s="1116" t="s">
        <v>990</v>
      </c>
      <c r="E43" s="1117"/>
      <c r="F43" s="1117"/>
      <c r="G43" s="1117"/>
      <c r="H43" s="1118"/>
      <c r="I43"/>
      <c r="P43" s="5"/>
      <c r="Q43" s="1110" t="s">
        <v>977</v>
      </c>
      <c r="R43" s="1111"/>
      <c r="S43" s="1116" t="s">
        <v>990</v>
      </c>
      <c r="T43" s="1117"/>
      <c r="U43" s="1117"/>
      <c r="V43" s="1117"/>
      <c r="W43" s="1118"/>
      <c r="X43"/>
      <c r="Y43" s="5"/>
      <c r="Z43" s="5"/>
      <c r="AA43" s="5"/>
      <c r="AB43" s="5"/>
      <c r="AC43" s="5"/>
      <c r="AD43" s="5"/>
      <c r="AE43" s="5"/>
      <c r="AF43" s="1110" t="s">
        <v>977</v>
      </c>
      <c r="AG43" s="1111"/>
      <c r="AH43" s="1116" t="s">
        <v>990</v>
      </c>
      <c r="AI43" s="1117"/>
      <c r="AJ43" s="1117"/>
      <c r="AK43" s="1117"/>
      <c r="AL43" s="1118"/>
    </row>
    <row r="44" spans="1:38" ht="79.900000000000006" customHeight="1" x14ac:dyDescent="0.25">
      <c r="A44" s="60"/>
      <c r="B44" s="1112"/>
      <c r="C44" s="1113"/>
      <c r="D44" s="1121" t="s">
        <v>246</v>
      </c>
      <c r="E44" s="1121" t="s">
        <v>244</v>
      </c>
      <c r="F44" s="1121" t="s">
        <v>86</v>
      </c>
      <c r="G44" s="1121" t="s">
        <v>242</v>
      </c>
      <c r="H44" s="1123" t="s">
        <v>172</v>
      </c>
      <c r="I44"/>
      <c r="P44" s="5"/>
      <c r="Q44" s="1112"/>
      <c r="R44" s="1113"/>
      <c r="S44" s="1121" t="s">
        <v>246</v>
      </c>
      <c r="T44" s="1121" t="s">
        <v>244</v>
      </c>
      <c r="U44" s="1121" t="s">
        <v>86</v>
      </c>
      <c r="V44" s="1121" t="s">
        <v>242</v>
      </c>
      <c r="W44" s="1123" t="s">
        <v>172</v>
      </c>
      <c r="X44"/>
      <c r="Y44" s="5"/>
      <c r="Z44" s="5"/>
      <c r="AA44" s="5"/>
      <c r="AB44" s="5"/>
      <c r="AC44" s="5"/>
      <c r="AD44" s="5"/>
      <c r="AE44" s="5"/>
      <c r="AF44" s="1112"/>
      <c r="AG44" s="1113"/>
      <c r="AH44" s="668" t="s">
        <v>246</v>
      </c>
      <c r="AI44" s="668" t="s">
        <v>244</v>
      </c>
      <c r="AJ44" s="668" t="s">
        <v>86</v>
      </c>
      <c r="AK44" s="668" t="s">
        <v>242</v>
      </c>
      <c r="AL44" s="677" t="s">
        <v>172</v>
      </c>
    </row>
    <row r="45" spans="1:38" ht="79.900000000000006" customHeight="1" x14ac:dyDescent="0.25">
      <c r="A45" s="60"/>
      <c r="B45" s="1114"/>
      <c r="C45" s="1115"/>
      <c r="D45" s="1122"/>
      <c r="E45" s="1122"/>
      <c r="F45" s="1122"/>
      <c r="G45" s="1122"/>
      <c r="H45" s="1124"/>
      <c r="I45"/>
      <c r="P45" s="5"/>
      <c r="Q45" s="1114"/>
      <c r="R45" s="1115"/>
      <c r="S45" s="1122"/>
      <c r="T45" s="1122"/>
      <c r="U45" s="1122"/>
      <c r="V45" s="1122"/>
      <c r="W45" s="1124"/>
      <c r="X45"/>
      <c r="Y45" s="5"/>
      <c r="Z45" s="5"/>
      <c r="AA45" s="5"/>
      <c r="AB45" s="5"/>
      <c r="AC45" s="5"/>
      <c r="AD45" s="5"/>
      <c r="AE45" s="5"/>
      <c r="AF45" s="1114"/>
      <c r="AG45" s="1115"/>
      <c r="AH45" s="179"/>
      <c r="AI45" s="179"/>
      <c r="AJ45" s="179"/>
      <c r="AK45" s="179"/>
      <c r="AL45" s="180"/>
    </row>
    <row r="46" spans="1:38" ht="199.9" customHeight="1" x14ac:dyDescent="0.25">
      <c r="B46" s="1104" t="s">
        <v>952</v>
      </c>
      <c r="C46" s="149" t="s">
        <v>246</v>
      </c>
      <c r="D46" s="687"/>
      <c r="E46" s="143" cm="1">
        <f t="array" ref="E46">SUMPRODUCT(ISNUMBER(SEARCH('16 Water Heating Costs'!$E$42:$AE$42,'16 Water Heating Costs'!G33)) *'16 Water Heating Costs'!$E$52:$AE$52)</f>
        <v>995.93657635545935</v>
      </c>
      <c r="F46" s="143" cm="1">
        <f t="array" ref="F46">SUMPRODUCT(ISNUMBER(SEARCH('16 Water Heating Costs'!$E$42:$AE$42,'16 Water Heating Costs'!H33)) *'16 Water Heating Costs'!$E$52:$AE$52)</f>
        <v>995.93657635545935</v>
      </c>
      <c r="G46" s="143" cm="1">
        <f t="array" ref="G46">SUMPRODUCT(ISNUMBER(SEARCH('16 Water Heating Costs'!$E$42:$AE$42,'16 Water Heating Costs'!I33)) *'16 Water Heating Costs'!$E$52:$AE$52)</f>
        <v>995.93657635545935</v>
      </c>
      <c r="H46" s="150" cm="1">
        <f t="array" ref="H46">SUMPRODUCT(ISNUMBER(SEARCH('16 Water Heating Costs'!$E$42:$AE$42,'16 Water Heating Costs'!J33)) *'16 Water Heating Costs'!$E$52:$AE$52)</f>
        <v>795.2121519754628</v>
      </c>
      <c r="I46"/>
      <c r="P46" s="5"/>
      <c r="Q46" s="1104" t="s">
        <v>952</v>
      </c>
      <c r="R46" s="149" t="s">
        <v>246</v>
      </c>
      <c r="S46" s="687"/>
      <c r="T46" s="143" cm="1">
        <f t="array" ref="T46">SUMPRODUCT(ISNUMBER(SEARCH('16 Water Heating Costs'!$E$42:$AE$42,'16 Water Heating Costs'!O33)) *'16 Water Heating Costs'!$E$52:$AE$52)</f>
        <v>995.93657635545935</v>
      </c>
      <c r="U46" s="143" cm="1">
        <f t="array" ref="U46">SUMPRODUCT(ISNUMBER(SEARCH('16 Water Heating Costs'!$E$42:$AE$42,'16 Water Heating Costs'!P33)) *'16 Water Heating Costs'!$E$52:$AE$52)</f>
        <v>995.93657635545935</v>
      </c>
      <c r="V46" s="143" cm="1">
        <f t="array" ref="V46">SUMPRODUCT(ISNUMBER(SEARCH('16 Water Heating Costs'!$E$42:$AE$42,'16 Water Heating Costs'!Q33)) *'16 Water Heating Costs'!$E$52:$AE$52)</f>
        <v>995.93657635545935</v>
      </c>
      <c r="W46" s="150" cm="1">
        <f t="array" ref="W46">SUMPRODUCT(ISNUMBER(SEARCH('16 Water Heating Costs'!$E$42:$AE$42,'16 Water Heating Costs'!R33)) *'16 Water Heating Costs'!$E$52:$AE$52)</f>
        <v>795.2121519754628</v>
      </c>
      <c r="X46"/>
      <c r="Y46" s="5"/>
      <c r="Z46" s="5"/>
      <c r="AA46" s="5"/>
      <c r="AB46" s="5"/>
      <c r="AC46" s="5"/>
      <c r="AD46" s="5"/>
      <c r="AE46" s="5"/>
      <c r="AF46" s="1104" t="s">
        <v>952</v>
      </c>
      <c r="AG46" s="149" t="s">
        <v>246</v>
      </c>
      <c r="AH46" s="687"/>
      <c r="AI46" s="143" cm="1">
        <f t="array" ref="AI46">SUMPRODUCT(ISNUMBER(SEARCH('16 Water Heating Costs'!$E$42:$AE$42,'16 Water Heating Costs'!W33)) *'16 Water Heating Costs'!$E$52:$AE$52)</f>
        <v>995.93657635545935</v>
      </c>
      <c r="AJ46" s="143" cm="1">
        <f t="array" ref="AJ46">SUMPRODUCT(ISNUMBER(SEARCH('16 Water Heating Costs'!$E$42:$AE$42,'16 Water Heating Costs'!X33)) *'16 Water Heating Costs'!$E$52:$AE$52)</f>
        <v>995.93657635545935</v>
      </c>
      <c r="AK46" s="143" cm="1">
        <f t="array" ref="AK46">SUMPRODUCT(ISNUMBER(SEARCH('16 Water Heating Costs'!$E$42:$AE$42,'16 Water Heating Costs'!Y33)) *'16 Water Heating Costs'!$E$52:$AE$52)</f>
        <v>995.93657635545935</v>
      </c>
      <c r="AL46" s="150" cm="1">
        <f t="array" ref="AL46">SUMPRODUCT(ISNUMBER(SEARCH('16 Water Heating Costs'!$E$42:$AE$42,'16 Water Heating Costs'!Z33)) *'16 Water Heating Costs'!$E$52:$AE$52)</f>
        <v>795.2121519754628</v>
      </c>
    </row>
    <row r="47" spans="1:38" ht="199.9" customHeight="1" x14ac:dyDescent="0.25">
      <c r="B47" s="1105"/>
      <c r="C47" s="152" t="s">
        <v>244</v>
      </c>
      <c r="D47" s="687"/>
      <c r="E47" s="687"/>
      <c r="F47" s="687"/>
      <c r="G47" s="687"/>
      <c r="H47" s="689"/>
      <c r="I47"/>
      <c r="P47" s="5"/>
      <c r="Q47" s="1105"/>
      <c r="R47" s="152" t="s">
        <v>244</v>
      </c>
      <c r="S47" s="687"/>
      <c r="T47" s="687"/>
      <c r="U47" s="687"/>
      <c r="V47" s="687"/>
      <c r="W47" s="689"/>
      <c r="X47"/>
      <c r="Y47" s="5"/>
      <c r="Z47" s="5"/>
      <c r="AA47" s="5"/>
      <c r="AB47" s="5"/>
      <c r="AC47" s="5"/>
      <c r="AD47" s="5"/>
      <c r="AE47" s="5"/>
      <c r="AF47" s="1119"/>
      <c r="AG47" s="152" t="s">
        <v>244</v>
      </c>
      <c r="AH47" s="687"/>
      <c r="AI47" s="687"/>
      <c r="AJ47" s="687"/>
      <c r="AK47" s="687"/>
      <c r="AL47" s="689"/>
    </row>
    <row r="48" spans="1:38" ht="199.9" customHeight="1" x14ac:dyDescent="0.25">
      <c r="B48" s="1105"/>
      <c r="C48" s="152" t="s">
        <v>86</v>
      </c>
      <c r="D48" s="143" cm="1">
        <f t="array" ref="D48">SUMPRODUCT(ISNUMBER(SEARCH('16 Water Heating Costs'!$E$42:$AE$42,'16 Water Heating Costs'!F35)) *'16 Water Heating Costs'!$E$52:$AE$52)</f>
        <v>3186.2799953321328</v>
      </c>
      <c r="E48" s="143" cm="1">
        <f t="array" ref="E48">SUMPRODUCT(ISNUMBER(SEARCH('16 Water Heating Costs'!$E$42:$AE$42,'16 Water Heating Costs'!G35)) *'16 Water Heating Costs'!$E$52:$AE$52)</f>
        <v>1733.9688828017738</v>
      </c>
      <c r="F48" s="687"/>
      <c r="G48" s="143" cm="1">
        <f t="array" ref="G48">SUMPRODUCT(ISNUMBER(SEARCH('16 Water Heating Costs'!$E$42:$AE$42,'16 Water Heating Costs'!I35)) *'16 Water Heating Costs'!$E$52:$AE$52)</f>
        <v>2729.4496221487198</v>
      </c>
      <c r="H48" s="150" cm="1">
        <f t="array" ref="H48">SUMPRODUCT(ISNUMBER(SEARCH('16 Water Heating Costs'!$E$42:$AE$42,'16 Water Heating Costs'!J35)) *'16 Water Heating Costs'!$E$52:$AE$52)</f>
        <v>3186.2799953321328</v>
      </c>
      <c r="I48"/>
      <c r="P48" s="5"/>
      <c r="Q48" s="1105"/>
      <c r="R48" s="152" t="s">
        <v>86</v>
      </c>
      <c r="S48" s="143" cm="1">
        <f t="array" ref="S48">SUMPRODUCT(ISNUMBER(SEARCH('16 Water Heating Costs'!$E$42:$AE$42,'16 Water Heating Costs'!N35)) *'16 Water Heating Costs'!$E$52:$AE$52)</f>
        <v>3965.3257111068669</v>
      </c>
      <c r="T48" s="143" cm="1">
        <f t="array" ref="T48">SUMPRODUCT(ISNUMBER(SEARCH('16 Water Heating Costs'!$E$42:$AE$42,'16 Water Heating Costs'!O35)) *'16 Water Heating Costs'!$E$52:$AE$52)</f>
        <v>2513.014598576508</v>
      </c>
      <c r="U48" s="687"/>
      <c r="V48" s="143" cm="1">
        <f t="array" ref="V48">SUMPRODUCT(ISNUMBER(SEARCH('16 Water Heating Costs'!$E$42:$AE$42,'16 Water Heating Costs'!Q35)) *'16 Water Heating Costs'!$E$52:$AE$52)</f>
        <v>3508.4953379234544</v>
      </c>
      <c r="W48" s="150" cm="1">
        <f t="array" ref="W48">SUMPRODUCT(ISNUMBER(SEARCH('16 Water Heating Costs'!$E$42:$AE$42,'16 Water Heating Costs'!R35)) *'16 Water Heating Costs'!$E$52:$AE$52)</f>
        <v>3965.3257111068669</v>
      </c>
      <c r="X48"/>
      <c r="Y48" s="5"/>
      <c r="Z48" s="5"/>
      <c r="AA48" s="5"/>
      <c r="AB48" s="5"/>
      <c r="AC48" s="5"/>
      <c r="AD48" s="5"/>
      <c r="AE48" s="5"/>
      <c r="AF48" s="1119"/>
      <c r="AG48" s="152" t="s">
        <v>86</v>
      </c>
      <c r="AH48" s="143" cm="1">
        <f t="array" ref="AH48">SUMPRODUCT(ISNUMBER(SEARCH('16 Water Heating Costs'!$E$42:$AE$42,'16 Water Heating Costs'!V35)) *'16 Water Heating Costs'!$E$52:$AE$52)</f>
        <v>2958.507937952128</v>
      </c>
      <c r="AI48" s="143" cm="1">
        <f t="array" ref="AI48">SUMPRODUCT(ISNUMBER(SEARCH('16 Water Heating Costs'!$E$42:$AE$42,'16 Water Heating Costs'!W35)) *'16 Water Heating Costs'!$E$52:$AE$52)</f>
        <v>2513.014598576508</v>
      </c>
      <c r="AJ48" s="687"/>
      <c r="AK48" s="143" cm="1">
        <f t="array" ref="AK48">SUMPRODUCT(ISNUMBER(SEARCH('16 Water Heating Costs'!$E$42:$AE$42,'16 Water Heating Costs'!Y35)) *'16 Water Heating Costs'!$E$52:$AE$52)</f>
        <v>2501.6775647687155</v>
      </c>
      <c r="AL48" s="150" cm="1">
        <f t="array" ref="AL48">SUMPRODUCT(ISNUMBER(SEARCH('16 Water Heating Costs'!$E$42:$AE$42,'16 Water Heating Costs'!Z35)) *'16 Water Heating Costs'!$E$52:$AE$52)</f>
        <v>2958.507937952128</v>
      </c>
    </row>
    <row r="49" spans="2:38" ht="199.9" customHeight="1" x14ac:dyDescent="0.25">
      <c r="B49" s="1105"/>
      <c r="C49" s="152" t="s">
        <v>242</v>
      </c>
      <c r="D49" s="143" cm="1">
        <f t="array" ref="D49">SUMPRODUCT(ISNUMBER(SEARCH('16 Water Heating Costs'!$E$42:$AE$42,'16 Water Heating Costs'!F36)) *'16 Water Heating Costs'!$E$52:$AE$52)</f>
        <v>3186.2799953321328</v>
      </c>
      <c r="E49" s="143" cm="1">
        <f t="array" ref="E49">SUMPRODUCT(ISNUMBER(SEARCH('16 Water Heating Costs'!$E$42:$AE$42,'16 Water Heating Costs'!G36)) *'16 Water Heating Costs'!$E$52:$AE$52)</f>
        <v>2729.4496221487198</v>
      </c>
      <c r="F49" s="143" cm="1">
        <f t="array" ref="F49">SUMPRODUCT(ISNUMBER(SEARCH('16 Water Heating Costs'!$E$42:$AE$42,'16 Water Heating Costs'!H36)) *'16 Water Heating Costs'!$E$52:$AE$52)</f>
        <v>2729.4496221487198</v>
      </c>
      <c r="G49" s="687"/>
      <c r="H49" s="150" cm="1">
        <f t="array" ref="H49">SUMPRODUCT(ISNUMBER(SEARCH('16 Water Heating Costs'!$E$42:$AE$42,'16 Water Heating Costs'!J36)) *'16 Water Heating Costs'!$E$52:$AE$52)</f>
        <v>3186.2799953321328</v>
      </c>
      <c r="I49"/>
      <c r="P49" s="5"/>
      <c r="Q49" s="1105"/>
      <c r="R49" s="152" t="s">
        <v>242</v>
      </c>
      <c r="S49" s="143" cm="1">
        <f t="array" ref="S49">SUMPRODUCT(ISNUMBER(SEARCH('16 Water Heating Costs'!$E$42:$AE$42,'16 Water Heating Costs'!N36)) *'16 Water Heating Costs'!$E$52:$AE$52)</f>
        <v>3965.3257111068669</v>
      </c>
      <c r="T49" s="143" cm="1">
        <f t="array" ref="T49">SUMPRODUCT(ISNUMBER(SEARCH('16 Water Heating Costs'!$E$42:$AE$42,'16 Water Heating Costs'!O36)) *'16 Water Heating Costs'!$E$52:$AE$52)</f>
        <v>3508.4953379234544</v>
      </c>
      <c r="U49" s="143" cm="1">
        <f t="array" ref="U49">SUMPRODUCT(ISNUMBER(SEARCH('16 Water Heating Costs'!$E$42:$AE$42,'16 Water Heating Costs'!P36)) *'16 Water Heating Costs'!$E$52:$AE$52)</f>
        <v>3508.4953379234544</v>
      </c>
      <c r="V49" s="687"/>
      <c r="W49" s="150" cm="1">
        <f t="array" ref="W49">SUMPRODUCT(ISNUMBER(SEARCH('16 Water Heating Costs'!$E$42:$AE$42,'16 Water Heating Costs'!R36)) *'16 Water Heating Costs'!$E$52:$AE$52)</f>
        <v>3965.3257111068669</v>
      </c>
      <c r="X49"/>
      <c r="Y49" s="5"/>
      <c r="Z49" s="5"/>
      <c r="AA49" s="5"/>
      <c r="AB49" s="5"/>
      <c r="AC49" s="5"/>
      <c r="AD49" s="5"/>
      <c r="AE49" s="5"/>
      <c r="AF49" s="1119"/>
      <c r="AG49" s="152" t="s">
        <v>242</v>
      </c>
      <c r="AH49" s="143" cm="1">
        <f t="array" ref="AH49">SUMPRODUCT(ISNUMBER(SEARCH('16 Water Heating Costs'!$E$42:$AE$42,'16 Water Heating Costs'!V36)) *'16 Water Heating Costs'!$E$52:$AE$52)</f>
        <v>2958.507937952128</v>
      </c>
      <c r="AI49" s="143" cm="1">
        <f t="array" ref="AI49">SUMPRODUCT(ISNUMBER(SEARCH('16 Water Heating Costs'!$E$42:$AE$42,'16 Water Heating Costs'!W36)) *'16 Water Heating Costs'!$E$52:$AE$52)</f>
        <v>2501.6775647687155</v>
      </c>
      <c r="AJ49" s="143" cm="1">
        <f t="array" ref="AJ49">SUMPRODUCT(ISNUMBER(SEARCH('16 Water Heating Costs'!$E$42:$AE$42,'16 Water Heating Costs'!X36)) *'16 Water Heating Costs'!$E$52:$AE$52)</f>
        <v>2501.6775647687155</v>
      </c>
      <c r="AK49" s="687"/>
      <c r="AL49" s="150" cm="1">
        <f t="array" ref="AL49">SUMPRODUCT(ISNUMBER(SEARCH('16 Water Heating Costs'!$E$42:$AE$42,'16 Water Heating Costs'!Z36)) *'16 Water Heating Costs'!$E$52:$AE$52)</f>
        <v>2958.507937952128</v>
      </c>
    </row>
    <row r="50" spans="2:38" ht="199.9" customHeight="1" thickBot="1" x14ac:dyDescent="0.3">
      <c r="B50" s="1106"/>
      <c r="C50" s="153" t="s">
        <v>172</v>
      </c>
      <c r="D50" s="690"/>
      <c r="E50" s="690"/>
      <c r="F50" s="690"/>
      <c r="G50" s="690"/>
      <c r="H50" s="688"/>
      <c r="I50"/>
      <c r="P50" s="5"/>
      <c r="Q50" s="1106"/>
      <c r="R50" s="153" t="s">
        <v>172</v>
      </c>
      <c r="S50" s="690"/>
      <c r="T50" s="690"/>
      <c r="U50" s="690"/>
      <c r="V50" s="690"/>
      <c r="W50" s="688"/>
      <c r="X50"/>
      <c r="Y50" s="5"/>
      <c r="Z50" s="5"/>
      <c r="AA50" s="5"/>
      <c r="AB50" s="5"/>
      <c r="AC50" s="5"/>
      <c r="AD50" s="5"/>
      <c r="AE50" s="5"/>
      <c r="AF50" s="1120"/>
      <c r="AG50" s="153" t="s">
        <v>172</v>
      </c>
      <c r="AH50" s="690"/>
      <c r="AI50" s="690"/>
      <c r="AJ50" s="690"/>
      <c r="AK50" s="690"/>
      <c r="AL50" s="688"/>
    </row>
    <row r="51" spans="2:38" ht="79.900000000000006" customHeight="1" thickBot="1" x14ac:dyDescent="0.3">
      <c r="B51" s="674"/>
      <c r="C51" s="674"/>
      <c r="D51" s="675"/>
      <c r="E51" s="675"/>
      <c r="F51" s="675"/>
      <c r="G51" s="675"/>
      <c r="H51" s="675"/>
      <c r="I51" s="675"/>
      <c r="J51" s="675"/>
      <c r="K51" s="675"/>
      <c r="L51" s="675"/>
      <c r="M51" s="675"/>
      <c r="N51" s="675"/>
      <c r="P51" s="5"/>
      <c r="Q51" s="674"/>
      <c r="R51" s="674"/>
      <c r="S51" s="675"/>
      <c r="T51" s="675"/>
      <c r="U51" s="675"/>
      <c r="V51" s="675"/>
      <c r="W51" s="675"/>
      <c r="X51" s="675"/>
      <c r="Y51" s="675"/>
      <c r="Z51" s="675"/>
      <c r="AA51" s="675"/>
      <c r="AB51" s="675"/>
      <c r="AC51" s="5"/>
      <c r="AD51" s="5"/>
      <c r="AE51" s="5"/>
      <c r="AF51" s="674"/>
      <c r="AG51" s="674"/>
      <c r="AH51" s="675"/>
      <c r="AI51" s="675"/>
      <c r="AJ51" s="675"/>
      <c r="AK51" s="675"/>
      <c r="AL51" s="675"/>
    </row>
    <row r="52" spans="2:38" ht="175.15" customHeight="1" thickBot="1" x14ac:dyDescent="0.3">
      <c r="B52" s="1135" t="s">
        <v>1074</v>
      </c>
      <c r="C52" s="1136"/>
      <c r="D52" s="1136"/>
      <c r="E52" s="1136"/>
      <c r="F52" s="1136"/>
      <c r="G52" s="1137"/>
      <c r="H52" s="364"/>
      <c r="I52" s="131"/>
      <c r="J52" s="146"/>
      <c r="K52" s="146"/>
      <c r="L52" s="146"/>
      <c r="M52" s="146"/>
      <c r="N52" s="156"/>
      <c r="O52" s="72"/>
    </row>
    <row r="53" spans="2:38" ht="79.900000000000006" customHeight="1" thickBot="1" x14ac:dyDescent="0.3">
      <c r="B53" s="1140" t="s">
        <v>226</v>
      </c>
      <c r="C53" s="1141"/>
      <c r="D53" s="1138" t="s">
        <v>282</v>
      </c>
      <c r="E53" s="1138"/>
      <c r="F53" s="1138"/>
      <c r="G53" s="1139"/>
      <c r="H53" s="183"/>
      <c r="I53" s="146"/>
      <c r="J53" s="146"/>
      <c r="K53" s="146"/>
      <c r="L53" s="146"/>
      <c r="M53" s="156"/>
      <c r="N53" s="72"/>
      <c r="O53" s="57"/>
    </row>
    <row r="54" spans="2:38" ht="199.9" customHeight="1" thickBot="1" x14ac:dyDescent="0.3">
      <c r="B54" s="1140"/>
      <c r="C54" s="1141"/>
      <c r="D54" s="147" t="s">
        <v>246</v>
      </c>
      <c r="E54" s="147" t="s">
        <v>594</v>
      </c>
      <c r="F54" s="147" t="s">
        <v>86</v>
      </c>
      <c r="G54" s="148" t="s">
        <v>242</v>
      </c>
      <c r="H54" s="131"/>
      <c r="I54" s="146"/>
      <c r="J54" s="146"/>
      <c r="K54" s="146"/>
      <c r="L54" s="146"/>
      <c r="M54" s="146"/>
      <c r="N54" s="72"/>
      <c r="O54" s="57"/>
    </row>
    <row r="55" spans="2:38" ht="199.9" customHeight="1" thickBot="1" x14ac:dyDescent="0.3">
      <c r="B55" s="1132" t="s">
        <v>227</v>
      </c>
      <c r="C55" s="147" t="s">
        <v>246</v>
      </c>
      <c r="D55" s="142"/>
      <c r="E55" s="143" cm="1">
        <f t="array" ref="E55">SUMPRODUCT(ISNUMBER(SEARCH('18 Clothes Drying Costs'!$D$16:$N$16,'18 Clothes Drying Costs'!G10)) *'18 Clothes Drying Costs'!$D$26:$N$26)</f>
        <v>724.8747155112834</v>
      </c>
      <c r="F55" s="143" cm="1">
        <f t="array" ref="F55">SUMPRODUCT(ISNUMBER(SEARCH('18 Clothes Drying Costs'!$D$16:$M$16,'18 Clothes Drying Costs'!H10)) *'18 Clothes Drying Costs'!$D$26:$M$26)</f>
        <v>960.51676273996895</v>
      </c>
      <c r="G55" s="150" cm="1">
        <f t="array" ref="G55">SUMPRODUCT(ISNUMBER(SEARCH('18 Clothes Drying Costs'!$D$16:$M$16,'18 Clothes Drying Costs'!I10)) *'18 Clothes Drying Costs'!$D$26:$M$26)</f>
        <v>960.51676273996895</v>
      </c>
      <c r="H55" s="131"/>
      <c r="I55" s="146"/>
      <c r="J55" s="146"/>
      <c r="K55" s="146"/>
      <c r="L55" s="146"/>
      <c r="M55" s="146"/>
      <c r="N55" s="72"/>
      <c r="O55" s="57"/>
    </row>
    <row r="56" spans="2:38" ht="199.9" customHeight="1" thickBot="1" x14ac:dyDescent="0.3">
      <c r="B56" s="1132"/>
      <c r="C56" s="147" t="s">
        <v>594</v>
      </c>
      <c r="D56" s="143" cm="1">
        <f t="array" ref="D56">SUMPRODUCT(ISNUMBER(SEARCH('18 Clothes Drying Costs'!$D$16:$M$16,'18 Clothes Drying Costs'!F11)) *'18 Clothes Drying Costs'!$D$26:$M$26)</f>
        <v>100</v>
      </c>
      <c r="E56" s="142"/>
      <c r="F56" s="143" cm="1">
        <f t="array" ref="F56">SUMPRODUCT(ISNUMBER(SEARCH('18 Clothes Drying Costs'!$D$16:$M$16,'18 Clothes Drying Costs'!H11)) *'18 Clothes Drying Costs'!$D$26:$M$26)</f>
        <v>1060.516762739969</v>
      </c>
      <c r="G56" s="150" cm="1">
        <f t="array" ref="G56">SUMPRODUCT(ISNUMBER(SEARCH('18 Clothes Drying Costs'!$D$16:$M$16,'18 Clothes Drying Costs'!I11)) *'18 Clothes Drying Costs'!$D$26:$M$26)</f>
        <v>1110.516762739969</v>
      </c>
      <c r="H56" s="131"/>
      <c r="I56" s="146"/>
      <c r="J56" s="146"/>
      <c r="K56" s="146"/>
      <c r="L56" s="146"/>
      <c r="M56" s="146"/>
      <c r="N56" s="72"/>
      <c r="O56" s="57"/>
    </row>
    <row r="57" spans="2:38" ht="199.9" customHeight="1" thickBot="1" x14ac:dyDescent="0.3">
      <c r="B57" s="1132"/>
      <c r="C57" s="147" t="s">
        <v>86</v>
      </c>
      <c r="D57" s="143" cm="1">
        <f t="array" ref="D57">SUMPRODUCT(ISNUMBER(SEARCH('18 Clothes Drying Costs'!$D$16:$M$16,'18 Clothes Drying Costs'!F12)) *'18 Clothes Drying Costs'!$D$26:$M$26)</f>
        <v>1033.5923656323596</v>
      </c>
      <c r="E57" s="143" cm="1">
        <f t="array" ref="E57">SUMPRODUCT(ISNUMBER(SEARCH('18 Clothes Drying Costs'!$D$16:$N$16,'18 Clothes Drying Costs'!G12)) *'18 Clothes Drying Costs'!$D$26:$N$26)</f>
        <v>1708.4670811436431</v>
      </c>
      <c r="F57" s="142"/>
      <c r="G57" s="150" cm="1">
        <f t="array" ref="G57">SUMPRODUCT(ISNUMBER(SEARCH('18 Clothes Drying Costs'!$D$16:$M$16,'18 Clothes Drying Costs'!I12)) *'18 Clothes Drying Costs'!$D$26:$M$26)</f>
        <v>1331.6591763132976</v>
      </c>
      <c r="H57" s="131"/>
      <c r="I57" s="146"/>
      <c r="J57" s="146"/>
      <c r="K57" s="146"/>
      <c r="L57" s="146"/>
      <c r="M57" s="146"/>
      <c r="N57" s="58"/>
      <c r="O57" s="57"/>
    </row>
    <row r="58" spans="2:38" ht="199.9" customHeight="1" thickBot="1" x14ac:dyDescent="0.3">
      <c r="B58" s="1133"/>
      <c r="C58" s="137" t="s">
        <v>242</v>
      </c>
      <c r="D58" s="354" cm="1">
        <f t="array" ref="D58">SUMPRODUCT(ISNUMBER(SEARCH('18 Clothes Drying Costs'!$D$16:$M$16,'18 Clothes Drying Costs'!F13)) *'18 Clothes Drying Costs'!$D$26:$M$26)</f>
        <v>1033.5923656323596</v>
      </c>
      <c r="E58" s="354" cm="1">
        <f t="array" ref="E58">SUMPRODUCT(ISNUMBER(SEARCH('18 Clothes Drying Costs'!$D$16:$N$16,'18 Clothes Drying Costs'!G13)) *'18 Clothes Drying Costs'!$D$26:$N$26)</f>
        <v>1758.4670811436431</v>
      </c>
      <c r="F58" s="354" cm="1">
        <f t="array" ref="F58">SUMPRODUCT(ISNUMBER(SEARCH('18 Clothes Drying Costs'!$D$16:$M$16,'18 Clothes Drying Costs'!H13)) *'18 Clothes Drying Costs'!$D$26:$M$26)</f>
        <v>1221.2428026874989</v>
      </c>
      <c r="G58" s="426"/>
      <c r="H58" s="58"/>
      <c r="I58" s="59"/>
      <c r="J58" s="59"/>
      <c r="K58" s="59"/>
      <c r="L58" s="59"/>
      <c r="M58" s="59"/>
      <c r="N58" s="57"/>
      <c r="O58" s="61"/>
      <c r="P58" s="61"/>
      <c r="Q58" s="61"/>
      <c r="R58" s="61"/>
      <c r="S58" s="61"/>
      <c r="T58" s="61"/>
      <c r="U58" s="61"/>
      <c r="V58" s="61"/>
      <c r="W58" s="61"/>
      <c r="X58" s="61"/>
      <c r="Y58" s="61"/>
      <c r="Z58" s="61"/>
      <c r="AA58" s="61"/>
      <c r="AB58" s="61"/>
      <c r="AC58" s="61"/>
      <c r="AD58" s="61"/>
      <c r="AE58" s="61"/>
      <c r="AF58" s="61"/>
      <c r="AG58" s="61"/>
      <c r="AH58" s="61"/>
      <c r="AI58" s="61"/>
      <c r="AJ58" s="61"/>
      <c r="AK58" s="61"/>
      <c r="AL58" s="61"/>
    </row>
    <row r="59" spans="2:38" ht="79.900000000000006" customHeight="1" thickBot="1" x14ac:dyDescent="0.3">
      <c r="B59" s="133"/>
      <c r="C59" s="157"/>
      <c r="D59" s="157"/>
      <c r="E59" s="157"/>
      <c r="F59" s="157"/>
      <c r="G59" s="157"/>
      <c r="H59" s="59"/>
      <c r="I59" s="57"/>
      <c r="J59" s="57"/>
      <c r="K59" s="57"/>
      <c r="L59" s="57"/>
      <c r="M59" s="57"/>
      <c r="N59" s="57"/>
      <c r="O59" s="57"/>
    </row>
    <row r="60" spans="2:38" ht="175.15" customHeight="1" x14ac:dyDescent="0.25">
      <c r="B60" s="1107" t="s">
        <v>546</v>
      </c>
      <c r="C60" s="1108"/>
      <c r="D60" s="1108"/>
      <c r="E60" s="1108"/>
      <c r="F60" s="1109"/>
      <c r="G60" s="365"/>
      <c r="H60" s="72"/>
      <c r="I60" s="57"/>
      <c r="J60" s="57"/>
      <c r="K60" s="57"/>
      <c r="L60" s="57"/>
      <c r="M60" s="57"/>
      <c r="N60" s="57"/>
      <c r="O60" s="57"/>
    </row>
    <row r="61" spans="2:38" ht="79.900000000000006" customHeight="1" x14ac:dyDescent="0.25">
      <c r="B61" s="1140" t="s">
        <v>287</v>
      </c>
      <c r="C61" s="1141"/>
      <c r="D61" s="1138" t="s">
        <v>282</v>
      </c>
      <c r="E61" s="1138"/>
      <c r="F61" s="1139"/>
      <c r="G61" s="151"/>
      <c r="H61" s="57"/>
      <c r="I61" s="57"/>
      <c r="J61" s="57"/>
      <c r="K61" s="57"/>
      <c r="L61" s="57"/>
      <c r="M61" s="57"/>
      <c r="N61" s="57"/>
      <c r="O61" s="57"/>
    </row>
    <row r="62" spans="2:38" ht="199.9" customHeight="1" x14ac:dyDescent="0.25">
      <c r="B62" s="1140"/>
      <c r="C62" s="1141"/>
      <c r="D62" s="147" t="s">
        <v>246</v>
      </c>
      <c r="E62" s="147" t="s">
        <v>242</v>
      </c>
      <c r="F62" s="148" t="s">
        <v>86</v>
      </c>
      <c r="G62" s="72"/>
      <c r="H62" s="57"/>
      <c r="I62" s="57"/>
      <c r="J62" s="57"/>
      <c r="K62" s="57"/>
      <c r="L62" s="57"/>
      <c r="M62" s="57"/>
      <c r="N62" s="57"/>
      <c r="O62" s="57"/>
    </row>
    <row r="63" spans="2:38" ht="199.9" customHeight="1" x14ac:dyDescent="0.25">
      <c r="B63" s="1132" t="s">
        <v>227</v>
      </c>
      <c r="C63" s="147" t="s">
        <v>246</v>
      </c>
      <c r="D63" s="142"/>
      <c r="E63" s="143" cm="1">
        <f t="array" ref="E63">SUMPRODUCT(ISNUMBER(SEARCH('17 Cooking Costs'!$E$18:$J$18, '17 Cooking Costs'!H12)) *'17 Cooking Costs'!$E$28:$J$28)</f>
        <v>850.98560451052651</v>
      </c>
      <c r="F63" s="150" cm="1">
        <f t="array" ref="F63">SUMPRODUCT(ISNUMBER(SEARCH('17 Cooking Costs'!$E$18:$J$18, '17 Cooking Costs'!I12)) *'17 Cooking Costs'!$E$28:$J$28)</f>
        <v>850.98560451052651</v>
      </c>
      <c r="G63" s="72"/>
      <c r="H63" s="57"/>
      <c r="I63" s="57"/>
      <c r="J63" s="57"/>
      <c r="K63" s="57"/>
      <c r="L63" s="57"/>
      <c r="M63" s="57"/>
      <c r="N63" s="57"/>
      <c r="O63" s="57"/>
    </row>
    <row r="64" spans="2:38" ht="199.9" customHeight="1" x14ac:dyDescent="0.25">
      <c r="B64" s="1132"/>
      <c r="C64" s="147" t="s">
        <v>242</v>
      </c>
      <c r="D64" s="143" cm="1">
        <f t="array" ref="D64">SUMPRODUCT(ISNUMBER(SEARCH('17 Cooking Costs'!$E$18:$J$18, '17 Cooking Costs'!G13)) *'17 Cooking Costs'!$E$28:$J$28)</f>
        <v>1033.5923656323596</v>
      </c>
      <c r="E64" s="142"/>
      <c r="F64" s="150" cm="1">
        <f t="array" ref="F64">SUMPRODUCT(ISNUMBER(SEARCH('17 Cooking Costs'!$E$18:$J$18, '17 Cooking Costs'!I13)) *'17 Cooking Costs'!$E$28:$J$28)</f>
        <v>1194.4920977053907</v>
      </c>
      <c r="G64" s="72"/>
      <c r="H64" s="57"/>
      <c r="I64" s="57"/>
      <c r="J64" s="57"/>
      <c r="K64" s="57"/>
      <c r="L64" s="57"/>
      <c r="M64" s="57"/>
      <c r="N64" s="57"/>
      <c r="O64" s="57"/>
    </row>
    <row r="65" spans="2:15" ht="199.9" customHeight="1" thickBot="1" x14ac:dyDescent="0.3">
      <c r="B65" s="1133"/>
      <c r="C65" s="137" t="s">
        <v>86</v>
      </c>
      <c r="D65" s="354" cm="1">
        <f t="array" ref="D65">SUMPRODUCT(ISNUMBER(SEARCH('17 Cooking Costs'!$E$18:$J$18, '17 Cooking Costs'!G14)) *'17 Cooking Costs'!$E$28:$J$28)</f>
        <v>1033.5923656323596</v>
      </c>
      <c r="E65" s="354" cm="1">
        <f t="array" ref="E65">SUMPRODUCT(ISNUMBER(SEARCH('17 Cooking Costs'!$E$18:$J$18, '17 Cooking Costs'!H14)) *'17 Cooking Costs'!$E$28:$J$28)</f>
        <v>1194.4920977053907</v>
      </c>
      <c r="F65" s="426"/>
      <c r="G65" s="72"/>
      <c r="H65" s="57"/>
      <c r="I65" s="57"/>
      <c r="J65" s="57"/>
      <c r="K65" s="57"/>
      <c r="L65" s="57"/>
      <c r="M65" s="57"/>
      <c r="N65" s="57"/>
      <c r="O65" s="57"/>
    </row>
    <row r="66" spans="2:15" x14ac:dyDescent="0.25">
      <c r="B66" s="151"/>
      <c r="C66" s="59"/>
      <c r="D66" s="59"/>
      <c r="E66" s="59"/>
      <c r="F66" s="59"/>
      <c r="G66" s="59"/>
      <c r="H66" s="57"/>
      <c r="I66" s="57"/>
      <c r="J66" s="57"/>
      <c r="K66" s="57"/>
      <c r="L66" s="57"/>
      <c r="M66" s="57"/>
      <c r="N66" s="57"/>
      <c r="O66" s="57"/>
    </row>
    <row r="67" spans="2:15" x14ac:dyDescent="0.25">
      <c r="C67" s="57"/>
      <c r="D67" s="57"/>
      <c r="E67" s="57"/>
      <c r="F67" s="57"/>
      <c r="G67" s="57"/>
      <c r="H67" s="57"/>
      <c r="I67" s="57"/>
      <c r="J67" s="57"/>
      <c r="K67" s="57"/>
      <c r="L67" s="57"/>
      <c r="M67" s="57"/>
      <c r="N67" s="57"/>
      <c r="O67" s="57"/>
    </row>
    <row r="68" spans="2:15" x14ac:dyDescent="0.25">
      <c r="C68" s="57"/>
      <c r="D68" s="57"/>
      <c r="E68" s="57"/>
      <c r="F68" s="57"/>
      <c r="G68" s="57"/>
      <c r="H68" s="57"/>
      <c r="I68" s="57"/>
      <c r="J68" s="57"/>
      <c r="K68" s="57"/>
      <c r="L68" s="57"/>
      <c r="M68" s="57"/>
      <c r="N68" s="57"/>
      <c r="O68" s="57"/>
    </row>
    <row r="69" spans="2:15" x14ac:dyDescent="0.25">
      <c r="C69" s="57"/>
      <c r="D69" s="57"/>
      <c r="E69" s="57"/>
      <c r="F69" s="57"/>
      <c r="G69" s="57"/>
      <c r="H69" s="57"/>
      <c r="I69" s="57"/>
      <c r="J69" s="57"/>
      <c r="K69" s="57"/>
      <c r="L69" s="57"/>
      <c r="M69" s="57"/>
      <c r="N69" s="57"/>
      <c r="O69" s="57"/>
    </row>
    <row r="70" spans="2:15" x14ac:dyDescent="0.25">
      <c r="C70" s="57"/>
      <c r="D70" s="57"/>
      <c r="E70" s="57"/>
      <c r="F70" s="57"/>
      <c r="G70" s="57"/>
      <c r="H70" s="57"/>
      <c r="I70" s="57"/>
      <c r="J70" s="57"/>
      <c r="K70" s="57"/>
      <c r="L70" s="57"/>
      <c r="M70" s="57"/>
      <c r="N70" s="57"/>
      <c r="O70" s="57"/>
    </row>
    <row r="71" spans="2:15" x14ac:dyDescent="0.25">
      <c r="C71" s="57"/>
      <c r="D71" s="57"/>
      <c r="E71" s="57"/>
      <c r="F71" s="57"/>
      <c r="G71" s="57"/>
      <c r="H71" s="57"/>
      <c r="I71" s="57"/>
      <c r="J71" s="57"/>
      <c r="K71" s="57"/>
      <c r="L71" s="57"/>
      <c r="M71" s="57"/>
      <c r="N71" s="57"/>
      <c r="O71" s="57"/>
    </row>
    <row r="72" spans="2:15" x14ac:dyDescent="0.25">
      <c r="C72" s="57"/>
      <c r="D72" s="57"/>
      <c r="E72" s="57"/>
      <c r="F72" s="57"/>
      <c r="G72" s="57"/>
      <c r="H72" s="57"/>
      <c r="I72" s="57"/>
      <c r="J72" s="57"/>
      <c r="K72" s="57"/>
      <c r="L72" s="57"/>
      <c r="M72" s="57"/>
      <c r="N72" s="57"/>
      <c r="O72" s="57"/>
    </row>
    <row r="73" spans="2:15" x14ac:dyDescent="0.25">
      <c r="C73" s="57"/>
      <c r="D73" s="57"/>
      <c r="E73" s="57"/>
      <c r="F73" s="57"/>
      <c r="G73" s="57"/>
      <c r="H73" s="57"/>
      <c r="I73" s="57"/>
      <c r="J73" s="57"/>
      <c r="K73" s="57"/>
      <c r="L73" s="57"/>
      <c r="M73" s="57"/>
      <c r="N73" s="57"/>
      <c r="O73" s="57"/>
    </row>
  </sheetData>
  <mergeCells count="88">
    <mergeCell ref="B63:B65"/>
    <mergeCell ref="B52:G52"/>
    <mergeCell ref="B53:C54"/>
    <mergeCell ref="D53:G53"/>
    <mergeCell ref="B55:B58"/>
    <mergeCell ref="B60:F60"/>
    <mergeCell ref="B61:C62"/>
    <mergeCell ref="D61:F61"/>
    <mergeCell ref="AH7:AS7"/>
    <mergeCell ref="B9:B20"/>
    <mergeCell ref="Q9:Q20"/>
    <mergeCell ref="AF9:AF20"/>
    <mergeCell ref="B7:C8"/>
    <mergeCell ref="D7:O7"/>
    <mergeCell ref="Q7:R8"/>
    <mergeCell ref="S7:AD7"/>
    <mergeCell ref="AF7:AG8"/>
    <mergeCell ref="L1:L3"/>
    <mergeCell ref="C5:O5"/>
    <mergeCell ref="B6:O6"/>
    <mergeCell ref="Q6:AD6"/>
    <mergeCell ref="AF6:AS6"/>
    <mergeCell ref="B22:H22"/>
    <mergeCell ref="Q22:W22"/>
    <mergeCell ref="AF22:AL22"/>
    <mergeCell ref="D23:H23"/>
    <mergeCell ref="S23:W23"/>
    <mergeCell ref="AH23:AL23"/>
    <mergeCell ref="B23:C25"/>
    <mergeCell ref="Q23:R25"/>
    <mergeCell ref="AF23:AG25"/>
    <mergeCell ref="T24:T25"/>
    <mergeCell ref="U24:U25"/>
    <mergeCell ref="V24:V25"/>
    <mergeCell ref="W24:W25"/>
    <mergeCell ref="B32:H32"/>
    <mergeCell ref="Q32:W32"/>
    <mergeCell ref="AF32:AL32"/>
    <mergeCell ref="D24:D25"/>
    <mergeCell ref="E24:E25"/>
    <mergeCell ref="F24:F25"/>
    <mergeCell ref="G24:G25"/>
    <mergeCell ref="H24:H25"/>
    <mergeCell ref="S24:S25"/>
    <mergeCell ref="B26:B30"/>
    <mergeCell ref="Q26:Q30"/>
    <mergeCell ref="AF26:AF30"/>
    <mergeCell ref="B33:C35"/>
    <mergeCell ref="D33:H33"/>
    <mergeCell ref="Q33:R35"/>
    <mergeCell ref="S33:W33"/>
    <mergeCell ref="AF33:AG35"/>
    <mergeCell ref="AH33:AL33"/>
    <mergeCell ref="D34:D35"/>
    <mergeCell ref="E34:E35"/>
    <mergeCell ref="F34:F35"/>
    <mergeCell ref="G34:G35"/>
    <mergeCell ref="H34:H35"/>
    <mergeCell ref="S34:S35"/>
    <mergeCell ref="T34:T35"/>
    <mergeCell ref="U34:U35"/>
    <mergeCell ref="V34:V35"/>
    <mergeCell ref="W34:W35"/>
    <mergeCell ref="Q43:R45"/>
    <mergeCell ref="S43:W43"/>
    <mergeCell ref="AF43:AG45"/>
    <mergeCell ref="B36:B40"/>
    <mergeCell ref="Q36:Q40"/>
    <mergeCell ref="AF36:AF40"/>
    <mergeCell ref="B42:H42"/>
    <mergeCell ref="Q42:W42"/>
    <mergeCell ref="AF42:AL42"/>
    <mergeCell ref="B46:B50"/>
    <mergeCell ref="Q46:Q50"/>
    <mergeCell ref="AF46:AF50"/>
    <mergeCell ref="AH43:AL43"/>
    <mergeCell ref="D44:D45"/>
    <mergeCell ref="E44:E45"/>
    <mergeCell ref="F44:F45"/>
    <mergeCell ref="G44:G45"/>
    <mergeCell ref="H44:H45"/>
    <mergeCell ref="S44:S45"/>
    <mergeCell ref="T44:T45"/>
    <mergeCell ref="U44:U45"/>
    <mergeCell ref="V44:V45"/>
    <mergeCell ref="W44:W45"/>
    <mergeCell ref="B43:C45"/>
    <mergeCell ref="D43:H43"/>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27C00-14DD-4F02-9EFF-18D60FE00975}">
  <sheetPr>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26.1"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1181</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Costs'!$C$18:$AW$18)</f>
        <v>4313.3482703620593</v>
      </c>
      <c r="G10" s="140" cm="1">
        <f t="array" ref="G10">SUMPRODUCT(ISNUMBER( SEARCH('13 Space Heating Costs'!$C$7:$AW$7,'12 Space Heating Subcomponents'!I12)) *'13 Space Heating Costs'!$C$18:$AW$18)</f>
        <v>5905.7249157359911</v>
      </c>
      <c r="H10" s="140" cm="1">
        <f t="array" ref="H10">SUMPRODUCT(ISNUMBER( SEARCH('13 Space Heating Costs'!$C$7:$AW$7,'12 Space Heating Subcomponents'!J12)) *'13 Space Heating Costs'!$C$18:$AW$18)</f>
        <v>7698.5740216462655</v>
      </c>
      <c r="I10" s="140" cm="1">
        <f t="array" ref="I10">SUMPRODUCT(ISNUMBER( SEARCH('13 Space Heating Costs'!$C$7:$AW$7,'12 Space Heating Subcomponents'!K12)) *'13 Space Heating Costs'!$C$18:$AW$18)</f>
        <v>3512.130546362268</v>
      </c>
      <c r="J10" s="140" cm="1">
        <f t="array" ref="J10">SUMPRODUCT(ISNUMBER( SEARCH('13 Space Heating Costs'!$C$7:$AW$7,'12 Space Heating Subcomponents'!L12)) *'13 Space Heating Costs'!$C$18:$AW$18)</f>
        <v>6849.5469881555327</v>
      </c>
      <c r="K10" s="140" cm="1">
        <f t="array" ref="K10">SUMPRODUCT(ISNUMBER( SEARCH('13 Space Heating Costs'!$C$7:$AW$7,'12 Space Heating Subcomponents'!M12)) *'13 Space Heating Costs'!$C$18:$AW$18)</f>
        <v>4038.0329507626152</v>
      </c>
      <c r="L10" s="140" cm="1">
        <f t="array" ref="L10">SUMPRODUCT(ISNUMBER( SEARCH('13 Space Heating Costs'!$C$7:$AW$7,'12 Space Heating Subcomponents'!N12)) *'13 Space Heating Costs'!$C$18:$AW$18)</f>
        <v>7477.0441752241277</v>
      </c>
      <c r="M10" s="140" cm="1">
        <f t="array" ref="M10">SUMPRODUCT(ISNUMBER( SEARCH('13 Space Heating Costs'!$C$7:$AW$7,'12 Space Heating Subcomponents'!O12)) *'13 Space Heating Costs'!$C$18:$AW$18)</f>
        <v>4038.0329507626152</v>
      </c>
      <c r="N10" s="140" cm="1">
        <f t="array" ref="N10">SUMPRODUCT(ISNUMBER( SEARCH('13 Space Heating Costs'!$C$7:$AW$7,'12 Space Heating Subcomponents'!P12)) *'13 Space Heating Costs'!$C$18:$AW$18)</f>
        <v>3978.6831039254753</v>
      </c>
      <c r="O10" s="402" cm="1">
        <f t="array" ref="O10">SUMPRODUCT(ISNUMBER( SEARCH('13 Space Heating Costs'!$C$7:$AW$7,'12 Space Heating Subcomponents'!Q12)) *'13 Space Heating Costs'!$C$18:$AW$18)</f>
        <v>9574.6776291391507</v>
      </c>
      <c r="P10" s="72"/>
      <c r="Q10" s="1105"/>
      <c r="R10" s="181" t="s">
        <v>242</v>
      </c>
      <c r="S10" s="181" t="s">
        <v>243</v>
      </c>
      <c r="T10" s="139"/>
      <c r="U10" s="140" cm="1">
        <f t="array" ref="U10">SUMPRODUCT(ISNUMBER( SEARCH('13 Space Heating Costs'!$C$7:$AW$7,'12 Space Heating Subcomponents'!H28)) *'13 Space Heating Costs'!$C$18:$AW$18)</f>
        <v>5028.6243518803622</v>
      </c>
      <c r="V10" s="140" cm="1">
        <f t="array" ref="V10">SUMPRODUCT(ISNUMBER( SEARCH('13 Space Heating Costs'!$C$7:$AW$7,'12 Space Heating Subcomponents'!I28)) *'13 Space Heating Costs'!$C$18:$AW$18)</f>
        <v>6621.0009972542939</v>
      </c>
      <c r="W10" s="140" cm="1">
        <f t="array" ref="W10">SUMPRODUCT(ISNUMBER( SEARCH('13 Space Heating Costs'!$C$7:$AW$7,'12 Space Heating Subcomponents'!J28)) *'13 Space Heating Costs'!$C$18:$AW$18)</f>
        <v>8413.8501031645683</v>
      </c>
      <c r="X10" s="140" cm="1">
        <f t="array" ref="X10">SUMPRODUCT(ISNUMBER( SEARCH('13 Space Heating Costs'!$C$7:$AW$7,'12 Space Heating Subcomponents'!K28)) *'13 Space Heating Costs'!$C$18:$AW$18)</f>
        <v>4227.4066278805712</v>
      </c>
      <c r="Y10" s="140" cm="1">
        <f t="array" ref="Y10">SUMPRODUCT(ISNUMBER( SEARCH('13 Space Heating Costs'!$C$7:$AW$7,'12 Space Heating Subcomponents'!L28)) *'13 Space Heating Costs'!$C$18:$AW$18)</f>
        <v>7564.8230696738356</v>
      </c>
      <c r="Z10" s="140" cm="1">
        <f t="array" ref="Z10">SUMPRODUCT(ISNUMBER( SEARCH('13 Space Heating Costs'!$C$7:$AW$7,'12 Space Heating Subcomponents'!M28)) *'13 Space Heating Costs'!$C$18:$AW$18)</f>
        <v>4753.3090322809185</v>
      </c>
      <c r="AA10" s="140" cm="1">
        <f t="array" ref="AA10">SUMPRODUCT(ISNUMBER( SEARCH('13 Space Heating Costs'!$C$7:$AW$7,'12 Space Heating Subcomponents'!N28)) *'13 Space Heating Costs'!$C$18:$AW$18)</f>
        <v>8192.3202567424305</v>
      </c>
      <c r="AB10" s="140" cm="1">
        <f t="array" ref="AB10">SUMPRODUCT(ISNUMBER( SEARCH('13 Space Heating Costs'!$C$7:$AW$7,'12 Space Heating Subcomponents'!O28)) *'13 Space Heating Costs'!$C$18:$AW$18)</f>
        <v>4753.3090322809185</v>
      </c>
      <c r="AC10" s="140" cm="1">
        <f t="array" ref="AC10">SUMPRODUCT(ISNUMBER( SEARCH('13 Space Heating Costs'!$C$7:$AW$7,'12 Space Heating Subcomponents'!P28)) *'13 Space Heating Costs'!$C$18:$AW$18)</f>
        <v>4693.9591854437786</v>
      </c>
      <c r="AD10" s="402" cm="1">
        <f t="array" ref="AD10">SUMPRODUCT(ISNUMBER( SEARCH('13 Space Heating Costs'!$C$7:$AW$7,'12 Space Heating Subcomponents'!Q28)) *'13 Space Heating Costs'!$C$18:$AW$18)</f>
        <v>10289.953710657453</v>
      </c>
      <c r="AE10" s="72"/>
      <c r="AF10" s="1105"/>
      <c r="AG10" s="181" t="s">
        <v>242</v>
      </c>
      <c r="AH10" s="181" t="s">
        <v>243</v>
      </c>
      <c r="AI10" s="139"/>
      <c r="AJ10" s="140" cm="1">
        <f t="array" ref="AJ10">SUMPRODUCT(ISNUMBER( SEARCH('13 Space Heating Costs'!$C$7:$AW$7,'12 Space Heating Subcomponents'!H44)) *'13 Space Heating Costs'!$C$18:$AW$18)</f>
        <v>3765.806657707747</v>
      </c>
      <c r="AK10" s="140" cm="1">
        <f t="array" ref="AK10">SUMPRODUCT(ISNUMBER( SEARCH('13 Space Heating Costs'!$C$7:$AW$7,'12 Space Heating Subcomponents'!I44)) *'13 Space Heating Costs'!$C$18:$AW$18)</f>
        <v>5358.1833030816779</v>
      </c>
      <c r="AL10" s="140" cm="1">
        <f t="array" ref="AL10">SUMPRODUCT(ISNUMBER( SEARCH('13 Space Heating Costs'!$C$7:$AW$7,'12 Space Heating Subcomponents'!J44)) *'13 Space Heating Costs'!$C$18:$AW$18)</f>
        <v>7151.0324089919523</v>
      </c>
      <c r="AM10" s="140" cm="1">
        <f t="array" ref="AM10">SUMPRODUCT(ISNUMBER( SEARCH('13 Space Heating Costs'!$C$7:$AW$7,'12 Space Heating Subcomponents'!K44)) *'13 Space Heating Costs'!$C$18:$AW$18)</f>
        <v>2964.5889337079552</v>
      </c>
      <c r="AN10" s="140" cm="1">
        <f t="array" ref="AN10">SUMPRODUCT(ISNUMBER( SEARCH('13 Space Heating Costs'!$C$7:$AW$7,'12 Space Heating Subcomponents'!L44)) *'13 Space Heating Costs'!$C$18:$AW$18)</f>
        <v>6302.0053755012195</v>
      </c>
      <c r="AO10" s="140" cm="1">
        <f t="array" ref="AO10">SUMPRODUCT(ISNUMBER( SEARCH('13 Space Heating Costs'!$C$7:$AW$7,'12 Space Heating Subcomponents'!M44)) *'13 Space Heating Costs'!$C$18:$AW$18)</f>
        <v>3490.4913381083024</v>
      </c>
      <c r="AP10" s="140" cm="1">
        <f t="array" ref="AP10">SUMPRODUCT(ISNUMBER( SEARCH('13 Space Heating Costs'!$C$7:$AW$7,'12 Space Heating Subcomponents'!N44)) *'13 Space Heating Costs'!$C$18:$AW$18)</f>
        <v>6929.5025625698154</v>
      </c>
      <c r="AQ10" s="140" cm="1">
        <f t="array" ref="AQ10">SUMPRODUCT(ISNUMBER( SEARCH('13 Space Heating Costs'!$C$7:$AW$7,'12 Space Heating Subcomponents'!O44)) *'13 Space Heating Costs'!$C$18:$AW$18)</f>
        <v>3490.4913381083024</v>
      </c>
      <c r="AR10" s="140" cm="1">
        <f t="array" ref="AR10">SUMPRODUCT(ISNUMBER( SEARCH('13 Space Heating Costs'!$C$7:$AW$7,'12 Space Heating Subcomponents'!P44)) *'13 Space Heating Costs'!$C$18:$AW$18)</f>
        <v>3431.1414912711625</v>
      </c>
      <c r="AS10" s="402" cm="1">
        <f t="array" ref="AS10">SUMPRODUCT(ISNUMBER( SEARCH('13 Space Heating Costs'!$C$7:$AW$7,'12 Space Heating Subcomponents'!Q44)) *'13 Space Heating Costs'!$C$18:$AW$18)</f>
        <v>9027.1360164848375</v>
      </c>
      <c r="AT10" s="72"/>
    </row>
    <row r="11" spans="1:46" ht="200.1" customHeight="1" x14ac:dyDescent="0.25">
      <c r="A11" s="60"/>
      <c r="B11" s="1105"/>
      <c r="C11" s="182" t="s">
        <v>244</v>
      </c>
      <c r="D11" s="182" t="s">
        <v>243</v>
      </c>
      <c r="E11" s="139"/>
      <c r="F11" s="139"/>
      <c r="G11" s="139"/>
      <c r="H11" s="139"/>
      <c r="I11" s="139"/>
      <c r="J11" s="139"/>
      <c r="K11" s="139"/>
      <c r="L11" s="139"/>
      <c r="M11" s="139"/>
      <c r="N11" s="139"/>
      <c r="O11" s="141"/>
      <c r="P11" s="72"/>
      <c r="Q11" s="1105"/>
      <c r="R11" s="182" t="s">
        <v>244</v>
      </c>
      <c r="S11" s="182" t="s">
        <v>243</v>
      </c>
      <c r="T11" s="139"/>
      <c r="U11" s="139"/>
      <c r="V11" s="139"/>
      <c r="W11" s="139"/>
      <c r="X11" s="139"/>
      <c r="Y11" s="139"/>
      <c r="Z11" s="139"/>
      <c r="AA11" s="139"/>
      <c r="AB11" s="139"/>
      <c r="AC11" s="139"/>
      <c r="AD11" s="141"/>
      <c r="AE11" s="72"/>
      <c r="AF11" s="1105"/>
      <c r="AG11" s="182" t="s">
        <v>244</v>
      </c>
      <c r="AH11" s="182" t="s">
        <v>243</v>
      </c>
      <c r="AI11" s="139"/>
      <c r="AJ11" s="139"/>
      <c r="AK11" s="139"/>
      <c r="AL11" s="139"/>
      <c r="AM11" s="139"/>
      <c r="AN11" s="139"/>
      <c r="AO11" s="139"/>
      <c r="AP11" s="139"/>
      <c r="AQ11" s="139"/>
      <c r="AR11" s="139"/>
      <c r="AS11" s="141"/>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Costs'!$C$18:$AW$18)</f>
        <v>8935.6499038079801</v>
      </c>
      <c r="F12" s="140" cm="1">
        <f t="array" ref="F12">SUMPRODUCT(ISNUMBER( SEARCH('13 Space Heating Costs'!$C$7:$AW$7,'12 Space Heating Subcomponents'!H14)) *'13 Space Heating Costs'!$C$18:$AW$18)</f>
        <v>10722.124435119464</v>
      </c>
      <c r="G12" s="139"/>
      <c r="H12" s="140" cm="1">
        <f t="array" ref="H12">SUMPRODUCT(ISNUMBER( SEARCH('13 Space Heating Costs'!$C$7:$AW$7,'12 Space Heating Subcomponents'!J14)) *'13 Space Heating Costs'!$C$18:$AW$18)</f>
        <v>3849.5226897451257</v>
      </c>
      <c r="I12" s="140" cm="1">
        <f t="array" ref="I12">SUMPRODUCT(ISNUMBER( SEARCH('13 Space Heating Costs'!$C$7:$AW$7,'12 Space Heating Subcomponents'!K14)) *'13 Space Heating Costs'!$C$18:$AW$18)</f>
        <v>9019.6419836083587</v>
      </c>
      <c r="J12" s="140" cm="1">
        <f t="array" ref="J12">SUMPRODUCT(ISNUMBER( SEARCH('13 Space Heating Costs'!$C$7:$AW$7,'12 Space Heating Subcomponents'!L14)) *'13 Space Heating Costs'!$C$18:$AW$18)</f>
        <v>8971.8326741174187</v>
      </c>
      <c r="K12" s="140" cm="1">
        <f t="array" ref="K12">SUMPRODUCT(ISNUMBER( SEARCH('13 Space Heating Costs'!$C$7:$AW$7,'12 Space Heating Subcomponents'!M14)) *'13 Space Heating Costs'!$C$18:$AW$18)</f>
        <v>10446.809115520018</v>
      </c>
      <c r="L12" s="140" cm="1">
        <f t="array" ref="L12">SUMPRODUCT(ISNUMBER( SEARCH('13 Space Heating Costs'!$C$7:$AW$7,'12 Space Heating Subcomponents'!N14)) *'13 Space Heating Costs'!$C$18:$AW$18)</f>
        <v>9599.3298611860155</v>
      </c>
      <c r="M12" s="140" cm="1">
        <f t="array" ref="M12">SUMPRODUCT(ISNUMBER( SEARCH('13 Space Heating Costs'!$C$7:$AW$7,'12 Space Heating Subcomponents'!O14)) *'13 Space Heating Costs'!$C$18:$AW$18)</f>
        <v>10446.809115520018</v>
      </c>
      <c r="N12" s="140" cm="1">
        <f t="array" ref="N12">SUMPRODUCT(ISNUMBER( SEARCH('13 Space Heating Costs'!$C$7:$AW$7,'12 Space Heating Subcomponents'!P14)) *'13 Space Heating Costs'!$C$18:$AW$18)</f>
        <v>10387.459268682878</v>
      </c>
      <c r="O12" s="402" cm="1">
        <f t="array" ref="O12">SUMPRODUCT(ISNUMBER( SEARCH('13 Space Heating Costs'!$C$7:$AW$7,'12 Space Heating Subcomponents'!Q14)) *'13 Space Heating Costs'!$C$18:$AW$18)</f>
        <v>15082.189066385241</v>
      </c>
      <c r="P12" s="72"/>
      <c r="Q12" s="1105"/>
      <c r="R12" s="181" t="s">
        <v>242</v>
      </c>
      <c r="S12" s="181" t="s">
        <v>245</v>
      </c>
      <c r="T12" s="140" cm="1">
        <f t="array" ref="T12">SUMPRODUCT(ISNUMBER( SEARCH('13 Space Heating Costs'!$C$7:$AW$7,'12 Space Heating Subcomponents'!G30)) *'13 Space Heating Costs'!$C$18:$AW$18)</f>
        <v>9339.7515659432174</v>
      </c>
      <c r="U12" s="140" cm="1">
        <f t="array" ref="U12">SUMPRODUCT(ISNUMBER( SEARCH('13 Space Heating Costs'!$C$7:$AW$7,'12 Space Heating Subcomponents'!H30)) *'13 Space Heating Costs'!$C$18:$AW$18)</f>
        <v>11126.226097254701</v>
      </c>
      <c r="V12" s="139"/>
      <c r="W12" s="140" cm="1">
        <f t="array" ref="W12">SUMPRODUCT(ISNUMBER( SEARCH('13 Space Heating Costs'!$C$7:$AW$7,'12 Space Heating Subcomponents'!J30)) *'13 Space Heating Costs'!$C$18:$AW$18)</f>
        <v>4253.6243518803622</v>
      </c>
      <c r="X12" s="140" cm="1">
        <f t="array" ref="X12">SUMPRODUCT(ISNUMBER( SEARCH('13 Space Heating Costs'!$C$7:$AW$7,'12 Space Heating Subcomponents'!K30)) *'13 Space Heating Costs'!$C$18:$AW$18)</f>
        <v>9423.7436457435961</v>
      </c>
      <c r="Y12" s="140" cm="1">
        <f t="array" ref="Y12">SUMPRODUCT(ISNUMBER( SEARCH('13 Space Heating Costs'!$C$7:$AW$7,'12 Space Heating Subcomponents'!L30)) *'13 Space Heating Costs'!$C$18:$AW$18)</f>
        <v>9375.9343362526561</v>
      </c>
      <c r="Z12" s="140" cm="1">
        <f t="array" ref="Z12">SUMPRODUCT(ISNUMBER( SEARCH('13 Space Heating Costs'!$C$7:$AW$7,'12 Space Heating Subcomponents'!M30)) *'13 Space Heating Costs'!$C$18:$AW$18)</f>
        <v>10850.910777655256</v>
      </c>
      <c r="AA12" s="140" cm="1">
        <f t="array" ref="AA12">SUMPRODUCT(ISNUMBER( SEARCH('13 Space Heating Costs'!$C$7:$AW$7,'12 Space Heating Subcomponents'!N30)) *'13 Space Heating Costs'!$C$18:$AW$18)</f>
        <v>10003.431523321251</v>
      </c>
      <c r="AB12" s="140" cm="1">
        <f t="array" ref="AB12">SUMPRODUCT(ISNUMBER( SEARCH('13 Space Heating Costs'!$C$7:$AW$7,'12 Space Heating Subcomponents'!O30)) *'13 Space Heating Costs'!$C$18:$AW$18)</f>
        <v>10850.910777655256</v>
      </c>
      <c r="AC12" s="140" cm="1">
        <f t="array" ref="AC12">SUMPRODUCT(ISNUMBER( SEARCH('13 Space Heating Costs'!$C$7:$AW$7,'12 Space Heating Subcomponents'!P30)) *'13 Space Heating Costs'!$C$18:$AW$18)</f>
        <v>10791.560930818116</v>
      </c>
      <c r="AD12" s="402" cm="1">
        <f t="array" ref="AD12">SUMPRODUCT(ISNUMBER( SEARCH('13 Space Heating Costs'!$C$7:$AW$7,'12 Space Heating Subcomponents'!Q30)) *'13 Space Heating Costs'!$C$18:$AW$18)</f>
        <v>15486.290728520478</v>
      </c>
      <c r="AE12" s="72"/>
      <c r="AF12" s="1105"/>
      <c r="AG12" s="181" t="s">
        <v>242</v>
      </c>
      <c r="AH12" s="181" t="s">
        <v>245</v>
      </c>
      <c r="AI12" s="140" cm="1">
        <f t="array" ref="AI12">SUMPRODUCT(ISNUMBER( SEARCH('13 Space Heating Costs'!$C$7:$AW$7,'12 Space Heating Subcomponents'!G46)) *'13 Space Heating Costs'!$C$18:$AW$18)</f>
        <v>8076.9338717706014</v>
      </c>
      <c r="AJ12" s="140" cm="1">
        <f t="array" ref="AJ12">SUMPRODUCT(ISNUMBER( SEARCH('13 Space Heating Costs'!$C$7:$AW$7,'12 Space Heating Subcomponents'!H46)) *'13 Space Heating Costs'!$C$18:$AW$18)</f>
        <v>9863.408403082085</v>
      </c>
      <c r="AK12" s="139"/>
      <c r="AL12" s="140" cm="1">
        <f t="array" ref="AL12">SUMPRODUCT(ISNUMBER( SEARCH('13 Space Heating Costs'!$C$7:$AW$7,'12 Space Heating Subcomponents'!J46)) *'13 Space Heating Costs'!$C$18:$AW$18)</f>
        <v>2990.806657707747</v>
      </c>
      <c r="AM12" s="140" cm="1">
        <f t="array" ref="AM12">SUMPRODUCT(ISNUMBER( SEARCH('13 Space Heating Costs'!$C$7:$AW$7,'12 Space Heating Subcomponents'!K46)) *'13 Space Heating Costs'!$C$18:$AW$18)</f>
        <v>8160.9259515709809</v>
      </c>
      <c r="AN12" s="140" cm="1">
        <f t="array" ref="AN12">SUMPRODUCT(ISNUMBER( SEARCH('13 Space Heating Costs'!$C$7:$AW$7,'12 Space Heating Subcomponents'!L46)) *'13 Space Heating Costs'!$C$18:$AW$18)</f>
        <v>8113.11664208004</v>
      </c>
      <c r="AO12" s="140" cm="1">
        <f t="array" ref="AO12">SUMPRODUCT(ISNUMBER( SEARCH('13 Space Heating Costs'!$C$7:$AW$7,'12 Space Heating Subcomponents'!M46)) *'13 Space Heating Costs'!$C$18:$AW$18)</f>
        <v>9588.0930834826395</v>
      </c>
      <c r="AP12" s="140" cm="1">
        <f t="array" ref="AP12">SUMPRODUCT(ISNUMBER( SEARCH('13 Space Heating Costs'!$C$7:$AW$7,'12 Space Heating Subcomponents'!N46)) *'13 Space Heating Costs'!$C$18:$AW$18)</f>
        <v>8740.613829148635</v>
      </c>
      <c r="AQ12" s="140" cm="1">
        <f t="array" ref="AQ12">SUMPRODUCT(ISNUMBER( SEARCH('13 Space Heating Costs'!$C$7:$AW$7,'12 Space Heating Subcomponents'!O46)) *'13 Space Heating Costs'!$C$18:$AW$18)</f>
        <v>9588.0930834826395</v>
      </c>
      <c r="AR12" s="140" cm="1">
        <f t="array" ref="AR12">SUMPRODUCT(ISNUMBER( SEARCH('13 Space Heating Costs'!$C$7:$AW$7,'12 Space Heating Subcomponents'!P46)) *'13 Space Heating Costs'!$C$18:$AW$18)</f>
        <v>9528.7432366454996</v>
      </c>
      <c r="AS12" s="402" cm="1">
        <f t="array" ref="AS12">SUMPRODUCT(ISNUMBER( SEARCH('13 Space Heating Costs'!$C$7:$AW$7,'12 Space Heating Subcomponents'!Q46)) *'13 Space Heating Costs'!$C$18:$AW$18)</f>
        <v>14223.473034347862</v>
      </c>
      <c r="AT12" s="72"/>
    </row>
    <row r="13" spans="1:46" ht="200.1" customHeight="1" x14ac:dyDescent="0.25">
      <c r="A13" s="60"/>
      <c r="B13" s="1105"/>
      <c r="C13" s="182" t="s">
        <v>244</v>
      </c>
      <c r="D13" s="182" t="s">
        <v>245</v>
      </c>
      <c r="E13" s="139"/>
      <c r="F13" s="139"/>
      <c r="G13" s="139"/>
      <c r="H13" s="139"/>
      <c r="I13" s="139"/>
      <c r="J13" s="139"/>
      <c r="K13" s="139"/>
      <c r="L13" s="139"/>
      <c r="M13" s="139"/>
      <c r="N13" s="139"/>
      <c r="O13" s="141"/>
      <c r="P13" s="72"/>
      <c r="Q13" s="1105"/>
      <c r="R13" s="182" t="s">
        <v>244</v>
      </c>
      <c r="S13" s="182" t="s">
        <v>245</v>
      </c>
      <c r="T13" s="139"/>
      <c r="U13" s="139"/>
      <c r="V13" s="139"/>
      <c r="W13" s="139"/>
      <c r="X13" s="139"/>
      <c r="Y13" s="139"/>
      <c r="Z13" s="139"/>
      <c r="AA13" s="139"/>
      <c r="AB13" s="139"/>
      <c r="AC13" s="139"/>
      <c r="AD13" s="141"/>
      <c r="AE13" s="72"/>
      <c r="AF13" s="1105"/>
      <c r="AG13" s="182" t="s">
        <v>244</v>
      </c>
      <c r="AH13" s="182" t="s">
        <v>245</v>
      </c>
      <c r="AI13" s="139"/>
      <c r="AJ13" s="139"/>
      <c r="AK13" s="139"/>
      <c r="AL13" s="139"/>
      <c r="AM13" s="139"/>
      <c r="AN13" s="139"/>
      <c r="AO13" s="139"/>
      <c r="AP13" s="139"/>
      <c r="AQ13" s="139"/>
      <c r="AR13" s="139"/>
      <c r="AS13" s="141"/>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Costs'!$C$18:$AW$18)</f>
        <v>1964.193676235519</v>
      </c>
      <c r="F14" s="140" cm="1">
        <f t="array" ref="F14">SUMPRODUCT(ISNUMBER( SEARCH('13 Space Heating Costs'!$C$7:$AW$7,'12 Space Heating Subcomponents'!H16)) *'13 Space Heating Costs'!$C$18:$AW$18)</f>
        <v>3224.765803146654</v>
      </c>
      <c r="G14" s="140" cm="1">
        <f t="array" ref="G14">SUMPRODUCT(ISNUMBER( SEARCH('13 Space Heating Costs'!$C$7:$AW$7,'12 Space Heating Subcomponents'!I16)) *'13 Space Heating Costs'!$C$18:$AW$18)</f>
        <v>5343.0448529209325</v>
      </c>
      <c r="H14" s="140" cm="1">
        <f t="array" ref="H14">SUMPRODUCT(ISNUMBER( SEARCH('13 Space Heating Costs'!$C$7:$AW$7,'12 Space Heating Subcomponents'!J16)) *'13 Space Heating Costs'!$C$18:$AW$18)</f>
        <v>6609.9915544308597</v>
      </c>
      <c r="I14" s="139"/>
      <c r="J14" s="140" cm="1">
        <f t="array" ref="J14">SUMPRODUCT(ISNUMBER( SEARCH('13 Space Heating Costs'!$C$7:$AW$7,'12 Space Heating Subcomponents'!L16)) *'13 Space Heating Costs'!$C$18:$AW$18)</f>
        <v>5151.8076149571698</v>
      </c>
      <c r="K14" s="140" cm="1">
        <f t="array" ref="K14">SUMPRODUCT(ISNUMBER( SEARCH('13 Space Heating Costs'!$C$7:$AW$7,'12 Space Heating Subcomponents'!M16)) *'13 Space Heating Costs'!$C$18:$AW$18)</f>
        <v>2340.2935775642522</v>
      </c>
      <c r="L14" s="140" cm="1">
        <f t="array" ref="L14">SUMPRODUCT(ISNUMBER( SEARCH('13 Space Heating Costs'!$C$7:$AW$7,'12 Space Heating Subcomponents'!N16)) *'13 Space Heating Costs'!$C$18:$AW$18)</f>
        <v>5779.3048020257656</v>
      </c>
      <c r="M14" s="140" cm="1">
        <f t="array" ref="M14">SUMPRODUCT(ISNUMBER( SEARCH('13 Space Heating Costs'!$C$7:$AW$7,'12 Space Heating Subcomponents'!O16)) *'13 Space Heating Costs'!$C$18:$AW$18)</f>
        <v>2340.2935775642522</v>
      </c>
      <c r="N14" s="140" cm="1">
        <f t="array" ref="N14">SUMPRODUCT(ISNUMBER( SEARCH('13 Space Heating Costs'!$C$7:$AW$7,'12 Space Heating Subcomponents'!P16)) *'13 Space Heating Costs'!$C$18:$AW$18)</f>
        <v>2890.1006367100695</v>
      </c>
      <c r="O14" s="402" cm="1">
        <f t="array" ref="O14">SUMPRODUCT(ISNUMBER( SEARCH('13 Space Heating Costs'!$C$7:$AW$7,'12 Space Heating Subcomponents'!Q16)) *'13 Space Heating Costs'!$C$18:$AW$18)</f>
        <v>7128.784320740644</v>
      </c>
      <c r="P14" s="72"/>
      <c r="Q14" s="1105"/>
      <c r="R14" s="182" t="s">
        <v>246</v>
      </c>
      <c r="S14" s="182" t="s">
        <v>243</v>
      </c>
      <c r="T14" s="140" cm="1">
        <f t="array" ref="T14">SUMPRODUCT(ISNUMBER( SEARCH('13 Space Heating Costs'!$C$7:$AW$7,'12 Space Heating Subcomponents'!G32)) *'13 Space Heating Costs'!$C$18:$AW$18)</f>
        <v>1964.193676235519</v>
      </c>
      <c r="U14" s="140" cm="1">
        <f t="array" ref="U14">SUMPRODUCT(ISNUMBER( SEARCH('13 Space Heating Costs'!$C$7:$AW$7,'12 Space Heating Subcomponents'!H32)) *'13 Space Heating Costs'!$C$18:$AW$18)</f>
        <v>3224.765803146654</v>
      </c>
      <c r="V14" s="140" cm="1">
        <f t="array" ref="V14">SUMPRODUCT(ISNUMBER( SEARCH('13 Space Heating Costs'!$C$7:$AW$7,'12 Space Heating Subcomponents'!I32)) *'13 Space Heating Costs'!$C$18:$AW$18)</f>
        <v>5343.0448529209325</v>
      </c>
      <c r="W14" s="140" cm="1">
        <f t="array" ref="W14">SUMPRODUCT(ISNUMBER( SEARCH('13 Space Heating Costs'!$C$7:$AW$7,'12 Space Heating Subcomponents'!J32)) *'13 Space Heating Costs'!$C$18:$AW$18)</f>
        <v>6609.9915544308597</v>
      </c>
      <c r="X14" s="139"/>
      <c r="Y14" s="140" cm="1">
        <f t="array" ref="Y14">SUMPRODUCT(ISNUMBER( SEARCH('13 Space Heating Costs'!$C$7:$AW$7,'12 Space Heating Subcomponents'!L32)) *'13 Space Heating Costs'!$C$18:$AW$18)</f>
        <v>5151.8076149571698</v>
      </c>
      <c r="Z14" s="140" cm="1">
        <f t="array" ref="Z14">SUMPRODUCT(ISNUMBER( SEARCH('13 Space Heating Costs'!$C$7:$AW$7,'12 Space Heating Subcomponents'!M32)) *'13 Space Heating Costs'!$C$18:$AW$18)</f>
        <v>2340.2935775642522</v>
      </c>
      <c r="AA14" s="140" cm="1">
        <f t="array" ref="AA14">SUMPRODUCT(ISNUMBER( SEARCH('13 Space Heating Costs'!$C$7:$AW$7,'12 Space Heating Subcomponents'!N32)) *'13 Space Heating Costs'!$C$18:$AW$18)</f>
        <v>5779.3048020257656</v>
      </c>
      <c r="AB14" s="140" cm="1">
        <f t="array" ref="AB14">SUMPRODUCT(ISNUMBER( SEARCH('13 Space Heating Costs'!$C$7:$AW$7,'12 Space Heating Subcomponents'!O32)) *'13 Space Heating Costs'!$C$18:$AW$18)</f>
        <v>2340.2935775642522</v>
      </c>
      <c r="AC14" s="140" cm="1">
        <f t="array" ref="AC14">SUMPRODUCT(ISNUMBER( SEARCH('13 Space Heating Costs'!$C$7:$AW$7,'12 Space Heating Subcomponents'!P32)) *'13 Space Heating Costs'!$C$18:$AW$18)</f>
        <v>2890.1006367100695</v>
      </c>
      <c r="AD14" s="402" cm="1">
        <f t="array" ref="AD14">SUMPRODUCT(ISNUMBER( SEARCH('13 Space Heating Costs'!$C$7:$AW$7,'12 Space Heating Subcomponents'!Q32)) *'13 Space Heating Costs'!$C$18:$AW$18)</f>
        <v>7128.784320740644</v>
      </c>
      <c r="AE14" s="72"/>
      <c r="AF14" s="1105"/>
      <c r="AG14" s="182" t="s">
        <v>246</v>
      </c>
      <c r="AH14" s="182" t="s">
        <v>243</v>
      </c>
      <c r="AI14" s="140" cm="1">
        <f t="array" ref="AI14">SUMPRODUCT(ISNUMBER( SEARCH('13 Space Heating Costs'!$C$7:$AW$7,'12 Space Heating Subcomponents'!G48)) *'13 Space Heating Costs'!$C$18:$AW$18)</f>
        <v>1964.193676235519</v>
      </c>
      <c r="AJ14" s="140" cm="1">
        <f t="array" ref="AJ14">SUMPRODUCT(ISNUMBER( SEARCH('13 Space Heating Costs'!$C$7:$AW$7,'12 Space Heating Subcomponents'!H48)) *'13 Space Heating Costs'!$C$18:$AW$18)</f>
        <v>3224.765803146654</v>
      </c>
      <c r="AK14" s="140" cm="1">
        <f t="array" ref="AK14">SUMPRODUCT(ISNUMBER( SEARCH('13 Space Heating Costs'!$C$7:$AW$7,'12 Space Heating Subcomponents'!I48)) *'13 Space Heating Costs'!$C$18:$AW$18)</f>
        <v>5343.0448529209325</v>
      </c>
      <c r="AL14" s="140" cm="1">
        <f t="array" ref="AL14">SUMPRODUCT(ISNUMBER( SEARCH('13 Space Heating Costs'!$C$7:$AW$7,'12 Space Heating Subcomponents'!J48)) *'13 Space Heating Costs'!$C$18:$AW$18)</f>
        <v>6609.9915544308597</v>
      </c>
      <c r="AM14" s="139"/>
      <c r="AN14" s="140" cm="1">
        <f t="array" ref="AN14">SUMPRODUCT(ISNUMBER( SEARCH('13 Space Heating Costs'!$C$7:$AW$7,'12 Space Heating Subcomponents'!L48)) *'13 Space Heating Costs'!$C$18:$AW$18)</f>
        <v>5151.8076149571698</v>
      </c>
      <c r="AO14" s="140" cm="1">
        <f t="array" ref="AO14">SUMPRODUCT(ISNUMBER( SEARCH('13 Space Heating Costs'!$C$7:$AW$7,'12 Space Heating Subcomponents'!M48)) *'13 Space Heating Costs'!$C$18:$AW$18)</f>
        <v>2340.2935775642522</v>
      </c>
      <c r="AP14" s="140" cm="1">
        <f t="array" ref="AP14">SUMPRODUCT(ISNUMBER( SEARCH('13 Space Heating Costs'!$C$7:$AW$7,'12 Space Heating Subcomponents'!N48)) *'13 Space Heating Costs'!$C$18:$AW$18)</f>
        <v>5779.3048020257656</v>
      </c>
      <c r="AQ14" s="140" cm="1">
        <f t="array" ref="AQ14">SUMPRODUCT(ISNUMBER( SEARCH('13 Space Heating Costs'!$C$7:$AW$7,'12 Space Heating Subcomponents'!O48)) *'13 Space Heating Costs'!$C$18:$AW$18)</f>
        <v>2340.2935775642522</v>
      </c>
      <c r="AR14" s="140" cm="1">
        <f t="array" ref="AR14">SUMPRODUCT(ISNUMBER( SEARCH('13 Space Heating Costs'!$C$7:$AW$7,'12 Space Heating Subcomponents'!P48)) *'13 Space Heating Costs'!$C$18:$AW$18)</f>
        <v>2890.1006367100695</v>
      </c>
      <c r="AS14" s="402" cm="1">
        <f t="array" ref="AS14">SUMPRODUCT(ISNUMBER( SEARCH('13 Space Heating Costs'!$C$7:$AW$7,'12 Space Heating Subcomponents'!Q48)) *'13 Space Heating Costs'!$C$18:$AW$18)</f>
        <v>7128.784320740644</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Costs'!$C$18:$AW$18)</f>
        <v>2340.4584037468317</v>
      </c>
      <c r="F15" s="140" cm="1">
        <f t="array" ref="F15">SUMPRODUCT(ISNUMBER( SEARCH('13 Space Heating Costs'!$C$7:$AW$7,'12 Space Heating Subcomponents'!H17)) *'13 Space Heating Costs'!$C$18:$AW$18)</f>
        <v>3601.0305306579667</v>
      </c>
      <c r="G15" s="140" cm="1">
        <f t="array" ref="G15">SUMPRODUCT(ISNUMBER( SEARCH('13 Space Heating Costs'!$C$7:$AW$7,'12 Space Heating Subcomponents'!I17)) *'13 Space Heating Costs'!$C$18:$AW$18)</f>
        <v>1432.8191016367268</v>
      </c>
      <c r="H15" s="140" cm="1">
        <f t="array" ref="H15">SUMPRODUCT(ISNUMBER( SEARCH('13 Space Heating Costs'!$C$7:$AW$7,'12 Space Heating Subcomponents'!J17)) *'13 Space Heating Costs'!$C$18:$AW$18)</f>
        <v>2699.765803146654</v>
      </c>
      <c r="I15" s="140" cm="1">
        <f t="array" ref="I15">SUMPRODUCT(ISNUMBER( SEARCH('13 Space Heating Costs'!$C$7:$AW$7,'12 Space Heating Subcomponents'!K17)) *'13 Space Heating Costs'!$C$18:$AW$18)</f>
        <v>2190.6559006752177</v>
      </c>
      <c r="J15" s="139"/>
      <c r="K15" s="140" cm="1">
        <f t="array" ref="K15">SUMPRODUCT(ISNUMBER( SEARCH('13 Space Heating Costs'!$C$7:$AW$7,'12 Space Heating Subcomponents'!M17)) *'13 Space Heating Costs'!$C$18:$AW$18)</f>
        <v>2716.5583050755649</v>
      </c>
      <c r="L15" s="140" cm="1">
        <f t="array" ref="L15">SUMPRODUCT(ISNUMBER( SEARCH('13 Space Heating Costs'!$C$7:$AW$7,'12 Space Heating Subcomponents'!N17)) *'13 Space Heating Costs'!$C$18:$AW$18)</f>
        <v>1869.0790507415604</v>
      </c>
      <c r="M15" s="140" cm="1">
        <f t="array" ref="M15">SUMPRODUCT(ISNUMBER( SEARCH('13 Space Heating Costs'!$C$7:$AW$7,'12 Space Heating Subcomponents'!O17)) *'13 Space Heating Costs'!$C$18:$AW$18)</f>
        <v>2716.5583050755649</v>
      </c>
      <c r="N15" s="140" cm="1">
        <f t="array" ref="N15">SUMPRODUCT(ISNUMBER( SEARCH('13 Space Heating Costs'!$C$7:$AW$7,'12 Space Heating Subcomponents'!P17)) *'13 Space Heating Costs'!$C$18:$AW$18)</f>
        <v>3266.3653642213822</v>
      </c>
      <c r="O15" s="402" cm="1">
        <f t="array" ref="O15">SUMPRODUCT(ISNUMBER( SEARCH('13 Space Heating Costs'!$C$7:$AW$7,'12 Space Heating Subcomponents'!Q17)) *'13 Space Heating Costs'!$C$18:$AW$18)</f>
        <v>3966.7125046565811</v>
      </c>
      <c r="P15" s="72"/>
      <c r="Q15" s="1105"/>
      <c r="R15" s="182" t="s">
        <v>246</v>
      </c>
      <c r="S15" s="182" t="s">
        <v>247</v>
      </c>
      <c r="T15" s="140" cm="1">
        <f t="array" ref="T15">SUMPRODUCT(ISNUMBER( SEARCH('13 Space Heating Costs'!$C$7:$AW$7,'12 Space Heating Subcomponents'!G33)) *'13 Space Heating Costs'!$C$18:$AW$18)</f>
        <v>2340.4584037468317</v>
      </c>
      <c r="U15" s="140" cm="1">
        <f t="array" ref="U15">SUMPRODUCT(ISNUMBER( SEARCH('13 Space Heating Costs'!$C$7:$AW$7,'12 Space Heating Subcomponents'!H33)) *'13 Space Heating Costs'!$C$18:$AW$18)</f>
        <v>3601.0305306579667</v>
      </c>
      <c r="V15" s="140" cm="1">
        <f t="array" ref="V15">SUMPRODUCT(ISNUMBER( SEARCH('13 Space Heating Costs'!$C$7:$AW$7,'12 Space Heating Subcomponents'!I33)) *'13 Space Heating Costs'!$C$18:$AW$18)</f>
        <v>1432.8191016367268</v>
      </c>
      <c r="W15" s="140" cm="1">
        <f t="array" ref="W15">SUMPRODUCT(ISNUMBER( SEARCH('13 Space Heating Costs'!$C$7:$AW$7,'12 Space Heating Subcomponents'!J33)) *'13 Space Heating Costs'!$C$18:$AW$18)</f>
        <v>2699.765803146654</v>
      </c>
      <c r="X15" s="140" cm="1">
        <f t="array" ref="X15">SUMPRODUCT(ISNUMBER( SEARCH('13 Space Heating Costs'!$C$7:$AW$7,'12 Space Heating Subcomponents'!K33)) *'13 Space Heating Costs'!$C$18:$AW$18)</f>
        <v>2190.6559006752177</v>
      </c>
      <c r="Y15" s="139"/>
      <c r="Z15" s="140" cm="1">
        <f t="array" ref="Z15">SUMPRODUCT(ISNUMBER( SEARCH('13 Space Heating Costs'!$C$7:$AW$7,'12 Space Heating Subcomponents'!M33)) *'13 Space Heating Costs'!$C$18:$AW$18)</f>
        <v>2716.5583050755649</v>
      </c>
      <c r="AA15" s="140" cm="1">
        <f t="array" ref="AA15">SUMPRODUCT(ISNUMBER( SEARCH('13 Space Heating Costs'!$C$7:$AW$7,'12 Space Heating Subcomponents'!N33)) *'13 Space Heating Costs'!$C$18:$AW$18)</f>
        <v>1869.0790507415604</v>
      </c>
      <c r="AB15" s="140" cm="1">
        <f t="array" ref="AB15">SUMPRODUCT(ISNUMBER( SEARCH('13 Space Heating Costs'!$C$7:$AW$7,'12 Space Heating Subcomponents'!O33)) *'13 Space Heating Costs'!$C$18:$AW$18)</f>
        <v>2716.5583050755649</v>
      </c>
      <c r="AC15" s="140" cm="1">
        <f t="array" ref="AC15">SUMPRODUCT(ISNUMBER( SEARCH('13 Space Heating Costs'!$C$7:$AW$7,'12 Space Heating Subcomponents'!P33)) *'13 Space Heating Costs'!$C$18:$AW$18)</f>
        <v>3266.3653642213822</v>
      </c>
      <c r="AD15" s="402" cm="1">
        <f t="array" ref="AD15">SUMPRODUCT(ISNUMBER( SEARCH('13 Space Heating Costs'!$C$7:$AW$7,'12 Space Heating Subcomponents'!Q33)) *'13 Space Heating Costs'!$C$18:$AW$18)</f>
        <v>3966.7125046565811</v>
      </c>
      <c r="AE15" s="72"/>
      <c r="AF15" s="1105"/>
      <c r="AG15" s="182" t="s">
        <v>246</v>
      </c>
      <c r="AH15" s="182" t="s">
        <v>247</v>
      </c>
      <c r="AI15" s="140" cm="1">
        <f t="array" ref="AI15">SUMPRODUCT(ISNUMBER( SEARCH('13 Space Heating Costs'!$C$7:$AW$7,'12 Space Heating Subcomponents'!G49)) *'13 Space Heating Costs'!$C$18:$AW$18)</f>
        <v>2340.4584037468317</v>
      </c>
      <c r="AJ15" s="140" cm="1">
        <f t="array" ref="AJ15">SUMPRODUCT(ISNUMBER( SEARCH('13 Space Heating Costs'!$C$7:$AW$7,'12 Space Heating Subcomponents'!H49)) *'13 Space Heating Costs'!$C$18:$AW$18)</f>
        <v>3601.0305306579667</v>
      </c>
      <c r="AK15" s="140" cm="1">
        <f t="array" ref="AK15">SUMPRODUCT(ISNUMBER( SEARCH('13 Space Heating Costs'!$C$7:$AW$7,'12 Space Heating Subcomponents'!I49)) *'13 Space Heating Costs'!$C$18:$AW$18)</f>
        <v>1432.8191016367268</v>
      </c>
      <c r="AL15" s="140" cm="1">
        <f t="array" ref="AL15">SUMPRODUCT(ISNUMBER( SEARCH('13 Space Heating Costs'!$C$7:$AW$7,'12 Space Heating Subcomponents'!J49)) *'13 Space Heating Costs'!$C$18:$AW$18)</f>
        <v>2699.765803146654</v>
      </c>
      <c r="AM15" s="140" cm="1">
        <f t="array" ref="AM15">SUMPRODUCT(ISNUMBER( SEARCH('13 Space Heating Costs'!$C$7:$AW$7,'12 Space Heating Subcomponents'!K49)) *'13 Space Heating Costs'!$C$18:$AW$18)</f>
        <v>2190.6559006752177</v>
      </c>
      <c r="AN15" s="139"/>
      <c r="AO15" s="140" cm="1">
        <f t="array" ref="AO15">SUMPRODUCT(ISNUMBER( SEARCH('13 Space Heating Costs'!$C$7:$AW$7,'12 Space Heating Subcomponents'!M49)) *'13 Space Heating Costs'!$C$18:$AW$18)</f>
        <v>2716.5583050755649</v>
      </c>
      <c r="AP15" s="140" cm="1">
        <f t="array" ref="AP15">SUMPRODUCT(ISNUMBER( SEARCH('13 Space Heating Costs'!$C$7:$AW$7,'12 Space Heating Subcomponents'!N49)) *'13 Space Heating Costs'!$C$18:$AW$18)</f>
        <v>1869.0790507415604</v>
      </c>
      <c r="AQ15" s="140" cm="1">
        <f t="array" ref="AQ15">SUMPRODUCT(ISNUMBER( SEARCH('13 Space Heating Costs'!$C$7:$AW$7,'12 Space Heating Subcomponents'!O49)) *'13 Space Heating Costs'!$C$18:$AW$18)</f>
        <v>2716.5583050755649</v>
      </c>
      <c r="AR15" s="140" cm="1">
        <f t="array" ref="AR15">SUMPRODUCT(ISNUMBER( SEARCH('13 Space Heating Costs'!$C$7:$AW$7,'12 Space Heating Subcomponents'!P49)) *'13 Space Heating Costs'!$C$18:$AW$18)</f>
        <v>3266.3653642213822</v>
      </c>
      <c r="AS15" s="402" cm="1">
        <f t="array" ref="AS15">SUMPRODUCT(ISNUMBER( SEARCH('13 Space Heating Costs'!$C$7:$AW$7,'12 Space Heating Subcomponents'!Q49)) *'13 Space Heating Costs'!$C$18:$AW$18)</f>
        <v>3966.7125046565811</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Costs'!$C$18:$AW$18)</f>
        <v>1264.193676235519</v>
      </c>
      <c r="F16" s="140" cm="1">
        <f t="array" ref="F16">SUMPRODUCT(ISNUMBER( SEARCH('13 Space Heating Costs'!$C$7:$AW$7,'12 Space Heating Subcomponents'!H18)) *'13 Space Heating Costs'!$C$18:$AW$18)</f>
        <v>2524.765803146654</v>
      </c>
      <c r="G16" s="140" cm="1">
        <f t="array" ref="G16">SUMPRODUCT(ISNUMBER( SEARCH('13 Space Heating Costs'!$C$7:$AW$7,'12 Space Heating Subcomponents'!I18)) *'13 Space Heating Costs'!$C$18:$AW$18)</f>
        <v>4643.0448529209325</v>
      </c>
      <c r="H16" s="140" cm="1">
        <f t="array" ref="H16">SUMPRODUCT(ISNUMBER( SEARCH('13 Space Heating Costs'!$C$7:$AW$7,'12 Space Heating Subcomponents'!J18)) *'13 Space Heating Costs'!$C$18:$AW$18)</f>
        <v>5909.9915544308597</v>
      </c>
      <c r="I16" s="140" cm="1">
        <f t="array" ref="I16">SUMPRODUCT(ISNUMBER( SEARCH('13 Space Heating Costs'!$C$7:$AW$7,'12 Space Heating Subcomponents'!K18)) *'13 Space Heating Costs'!$C$18:$AW$18)</f>
        <v>1114.391173163905</v>
      </c>
      <c r="J16" s="140" cm="1">
        <f t="array" ref="J16">SUMPRODUCT(ISNUMBER( SEARCH('13 Space Heating Costs'!$C$7:$AW$7,'12 Space Heating Subcomponents'!L18)) *'13 Space Heating Costs'!$C$18:$AW$18)</f>
        <v>4451.8076149571698</v>
      </c>
      <c r="K16" s="139"/>
      <c r="L16" s="140" cm="1">
        <f t="array" ref="L16">SUMPRODUCT(ISNUMBER( SEARCH('13 Space Heating Costs'!$C$7:$AW$7,'12 Space Heating Subcomponents'!N18)) *'13 Space Heating Costs'!$C$18:$AW$18)</f>
        <v>4331.1508668256229</v>
      </c>
      <c r="M16" s="140" cm="1">
        <f t="array" ref="M16">SUMPRODUCT(ISNUMBER( SEARCH('13 Space Heating Costs'!$C$7:$AW$7,'12 Space Heating Subcomponents'!O18)) *'13 Space Heating Costs'!$C$18:$AW$18)</f>
        <v>892.1396423641097</v>
      </c>
      <c r="N16" s="140" cm="1">
        <f t="array" ref="N16">SUMPRODUCT(ISNUMBER( SEARCH('13 Space Heating Costs'!$C$7:$AW$7,'12 Space Heating Subcomponents'!P18)) *'13 Space Heating Costs'!$C$18:$AW$18)</f>
        <v>2190.1006367100695</v>
      </c>
      <c r="O16" s="402" cm="1">
        <f t="array" ref="O16">SUMPRODUCT(ISNUMBER( SEARCH('13 Space Heating Costs'!$C$7:$AW$7,'12 Space Heating Subcomponents'!Q18)) *'13 Space Heating Costs'!$C$18:$AW$18)</f>
        <v>6428.784320740644</v>
      </c>
      <c r="P16" s="72"/>
      <c r="Q16" s="1105"/>
      <c r="R16" s="182" t="s">
        <v>246</v>
      </c>
      <c r="S16" s="182" t="s">
        <v>248</v>
      </c>
      <c r="T16" s="140" cm="1">
        <f t="array" ref="T16">SUMPRODUCT(ISNUMBER( SEARCH('13 Space Heating Costs'!$C$7:$AW$7,'12 Space Heating Subcomponents'!G34)) *'13 Space Heating Costs'!$C$18:$AW$18)</f>
        <v>1264.193676235519</v>
      </c>
      <c r="U16" s="140" cm="1">
        <f t="array" ref="U16">SUMPRODUCT(ISNUMBER( SEARCH('13 Space Heating Costs'!$C$7:$AW$7,'12 Space Heating Subcomponents'!H34)) *'13 Space Heating Costs'!$C$18:$AW$18)</f>
        <v>2524.765803146654</v>
      </c>
      <c r="V16" s="140" cm="1">
        <f t="array" ref="V16">SUMPRODUCT(ISNUMBER( SEARCH('13 Space Heating Costs'!$C$7:$AW$7,'12 Space Heating Subcomponents'!I34)) *'13 Space Heating Costs'!$C$18:$AW$18)</f>
        <v>4643.0448529209325</v>
      </c>
      <c r="W16" s="140" cm="1">
        <f t="array" ref="W16">SUMPRODUCT(ISNUMBER( SEARCH('13 Space Heating Costs'!$C$7:$AW$7,'12 Space Heating Subcomponents'!J34)) *'13 Space Heating Costs'!$C$18:$AW$18)</f>
        <v>5909.9915544308597</v>
      </c>
      <c r="X16" s="140" cm="1">
        <f t="array" ref="X16">SUMPRODUCT(ISNUMBER( SEARCH('13 Space Heating Costs'!$C$7:$AW$7,'12 Space Heating Subcomponents'!K34)) *'13 Space Heating Costs'!$C$18:$AW$18)</f>
        <v>1114.391173163905</v>
      </c>
      <c r="Y16" s="140" cm="1">
        <f t="array" ref="Y16">SUMPRODUCT(ISNUMBER( SEARCH('13 Space Heating Costs'!$C$7:$AW$7,'12 Space Heating Subcomponents'!L34)) *'13 Space Heating Costs'!$C$18:$AW$18)</f>
        <v>4451.8076149571698</v>
      </c>
      <c r="Z16" s="139"/>
      <c r="AA16" s="140" cm="1">
        <f t="array" ref="AA16">SUMPRODUCT(ISNUMBER( SEARCH('13 Space Heating Costs'!$C$7:$AW$7,'12 Space Heating Subcomponents'!N34)) *'13 Space Heating Costs'!$C$18:$AW$18)</f>
        <v>4331.1508668256229</v>
      </c>
      <c r="AB16" s="140" cm="1">
        <f t="array" ref="AB16">SUMPRODUCT(ISNUMBER( SEARCH('13 Space Heating Costs'!$C$7:$AW$7,'12 Space Heating Subcomponents'!O34)) *'13 Space Heating Costs'!$C$18:$AW$18)</f>
        <v>892.1396423641097</v>
      </c>
      <c r="AC16" s="140" cm="1">
        <f t="array" ref="AC16">SUMPRODUCT(ISNUMBER( SEARCH('13 Space Heating Costs'!$C$7:$AW$7,'12 Space Heating Subcomponents'!P34)) *'13 Space Heating Costs'!$C$18:$AW$18)</f>
        <v>2190.1006367100695</v>
      </c>
      <c r="AD16" s="402" cm="1">
        <f t="array" ref="AD16">SUMPRODUCT(ISNUMBER( SEARCH('13 Space Heating Costs'!$C$7:$AW$7,'12 Space Heating Subcomponents'!Q34)) *'13 Space Heating Costs'!$C$18:$AW$18)</f>
        <v>6428.784320740644</v>
      </c>
      <c r="AE16" s="72"/>
      <c r="AF16" s="1105"/>
      <c r="AG16" s="182" t="s">
        <v>246</v>
      </c>
      <c r="AH16" s="182" t="s">
        <v>248</v>
      </c>
      <c r="AI16" s="140" cm="1">
        <f t="array" ref="AI16">SUMPRODUCT(ISNUMBER( SEARCH('13 Space Heating Costs'!$C$7:$AW$7,'12 Space Heating Subcomponents'!G50)) *'13 Space Heating Costs'!$C$18:$AW$18)</f>
        <v>1264.193676235519</v>
      </c>
      <c r="AJ16" s="140" cm="1">
        <f t="array" ref="AJ16">SUMPRODUCT(ISNUMBER( SEARCH('13 Space Heating Costs'!$C$7:$AW$7,'12 Space Heating Subcomponents'!H50)) *'13 Space Heating Costs'!$C$18:$AW$18)</f>
        <v>2524.765803146654</v>
      </c>
      <c r="AK16" s="140" cm="1">
        <f t="array" ref="AK16">SUMPRODUCT(ISNUMBER( SEARCH('13 Space Heating Costs'!$C$7:$AW$7,'12 Space Heating Subcomponents'!I50)) *'13 Space Heating Costs'!$C$18:$AW$18)</f>
        <v>4643.0448529209325</v>
      </c>
      <c r="AL16" s="140" cm="1">
        <f t="array" ref="AL16">SUMPRODUCT(ISNUMBER( SEARCH('13 Space Heating Costs'!$C$7:$AW$7,'12 Space Heating Subcomponents'!J50)) *'13 Space Heating Costs'!$C$18:$AW$18)</f>
        <v>5909.9915544308597</v>
      </c>
      <c r="AM16" s="140" cm="1">
        <f t="array" ref="AM16">SUMPRODUCT(ISNUMBER( SEARCH('13 Space Heating Costs'!$C$7:$AW$7,'12 Space Heating Subcomponents'!K50)) *'13 Space Heating Costs'!$C$18:$AW$18)</f>
        <v>1114.391173163905</v>
      </c>
      <c r="AN16" s="140" cm="1">
        <f t="array" ref="AN16">SUMPRODUCT(ISNUMBER( SEARCH('13 Space Heating Costs'!$C$7:$AW$7,'12 Space Heating Subcomponents'!L50)) *'13 Space Heating Costs'!$C$18:$AW$18)</f>
        <v>4451.8076149571698</v>
      </c>
      <c r="AO16" s="139"/>
      <c r="AP16" s="140" cm="1">
        <f t="array" ref="AP16">SUMPRODUCT(ISNUMBER( SEARCH('13 Space Heating Costs'!$C$7:$AW$7,'12 Space Heating Subcomponents'!N50)) *'13 Space Heating Costs'!$C$18:$AW$18)</f>
        <v>4331.1508668256229</v>
      </c>
      <c r="AQ16" s="140" cm="1">
        <f t="array" ref="AQ16">SUMPRODUCT(ISNUMBER( SEARCH('13 Space Heating Costs'!$C$7:$AW$7,'12 Space Heating Subcomponents'!O50)) *'13 Space Heating Costs'!$C$18:$AW$18)</f>
        <v>892.1396423641097</v>
      </c>
      <c r="AR16" s="140" cm="1">
        <f t="array" ref="AR16">SUMPRODUCT(ISNUMBER( SEARCH('13 Space Heating Costs'!$C$7:$AW$7,'12 Space Heating Subcomponents'!P50)) *'13 Space Heating Costs'!$C$18:$AW$18)</f>
        <v>2190.1006367100695</v>
      </c>
      <c r="AS16" s="402" cm="1">
        <f t="array" ref="AS16">SUMPRODUCT(ISNUMBER( SEARCH('13 Space Heating Costs'!$C$7:$AW$7,'12 Space Heating Subcomponents'!Q50)) *'13 Space Heating Costs'!$C$18:$AW$18)</f>
        <v>6428.784320740644</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Costs'!$C$18:$AW$18)</f>
        <v>4047.2181872325405</v>
      </c>
      <c r="F17" s="140" cm="1">
        <f t="array" ref="F17">SUMPRODUCT(ISNUMBER( SEARCH('13 Space Heating Costs'!$C$7:$AW$7,'12 Space Heating Subcomponents'!H19)) *'13 Space Heating Costs'!$C$18:$AW$18)</f>
        <v>5307.7903141436755</v>
      </c>
      <c r="G17" s="140" cm="1">
        <f t="array" ref="G17">SUMPRODUCT(ISNUMBER( SEARCH('13 Space Heating Costs'!$C$7:$AW$7,'12 Space Heating Subcomponents'!I19)) *'13 Space Heating Costs'!$C$18:$AW$18)</f>
        <v>3139.5788851224356</v>
      </c>
      <c r="H17" s="140" cm="1">
        <f t="array" ref="H17">SUMPRODUCT(ISNUMBER( SEARCH('13 Space Heating Costs'!$C$7:$AW$7,'12 Space Heating Subcomponents'!J19)) *'13 Space Heating Costs'!$C$18:$AW$18)</f>
        <v>4406.5255866323623</v>
      </c>
      <c r="I17" s="140" cm="1">
        <f t="array" ref="I17">SUMPRODUCT(ISNUMBER( SEARCH('13 Space Heating Costs'!$C$7:$AW$7,'12 Space Heating Subcomponents'!K19)) *'13 Space Heating Costs'!$C$18:$AW$18)</f>
        <v>3897.4156841609265</v>
      </c>
      <c r="J17" s="140" cm="1">
        <f t="array" ref="J17">SUMPRODUCT(ISNUMBER( SEARCH('13 Space Heating Costs'!$C$7:$AW$7,'12 Space Heating Subcomponents'!L19)) *'13 Space Heating Costs'!$C$18:$AW$18)</f>
        <v>3849.6063746699856</v>
      </c>
      <c r="K17" s="140" cm="1">
        <f t="array" ref="K17">SUMPRODUCT(ISNUMBER( SEARCH('13 Space Heating Costs'!$C$7:$AW$7,'12 Space Heating Subcomponents'!M19)) *'13 Space Heating Costs'!$C$18:$AW$18)</f>
        <v>3675.164153361131</v>
      </c>
      <c r="L17" s="139"/>
      <c r="M17" s="140" cm="1">
        <f t="array" ref="M17">SUMPRODUCT(ISNUMBER( SEARCH('13 Space Heating Costs'!$C$7:$AW$7,'12 Space Heating Subcomponents'!O19)) *'13 Space Heating Costs'!$C$18:$AW$18)</f>
        <v>3675.164153361131</v>
      </c>
      <c r="N17" s="140" cm="1">
        <f t="array" ref="N17">SUMPRODUCT(ISNUMBER( SEARCH('13 Space Heating Costs'!$C$7:$AW$7,'12 Space Heating Subcomponents'!P19)) *'13 Space Heating Costs'!$C$18:$AW$18)</f>
        <v>4973.1251477070909</v>
      </c>
      <c r="O17" s="402" cm="1">
        <f t="array" ref="O17">SUMPRODUCT(ISNUMBER( SEARCH('13 Space Heating Costs'!$C$7:$AW$7,'12 Space Heating Subcomponents'!Q19)) *'13 Space Heating Costs'!$C$18:$AW$18)</f>
        <v>5673.4722881422895</v>
      </c>
      <c r="P17" s="72"/>
      <c r="Q17" s="1105"/>
      <c r="R17" s="182" t="s">
        <v>246</v>
      </c>
      <c r="S17" s="182" t="s">
        <v>249</v>
      </c>
      <c r="T17" s="140" cm="1">
        <f t="array" ref="T17">SUMPRODUCT(ISNUMBER( SEARCH('13 Space Heating Costs'!$C$7:$AW$7,'12 Space Heating Subcomponents'!G35)) *'13 Space Heating Costs'!$C$18:$AW$18)</f>
        <v>4047.2181872325405</v>
      </c>
      <c r="U17" s="140" cm="1">
        <f t="array" ref="U17">SUMPRODUCT(ISNUMBER( SEARCH('13 Space Heating Costs'!$C$7:$AW$7,'12 Space Heating Subcomponents'!H35)) *'13 Space Heating Costs'!$C$18:$AW$18)</f>
        <v>5307.7903141436755</v>
      </c>
      <c r="V17" s="140" cm="1">
        <f t="array" ref="V17">SUMPRODUCT(ISNUMBER( SEARCH('13 Space Heating Costs'!$C$7:$AW$7,'12 Space Heating Subcomponents'!I35)) *'13 Space Heating Costs'!$C$18:$AW$18)</f>
        <v>3139.5788851224356</v>
      </c>
      <c r="W17" s="140" cm="1">
        <f t="array" ref="W17">SUMPRODUCT(ISNUMBER( SEARCH('13 Space Heating Costs'!$C$7:$AW$7,'12 Space Heating Subcomponents'!J35)) *'13 Space Heating Costs'!$C$18:$AW$18)</f>
        <v>4406.5255866323623</v>
      </c>
      <c r="X17" s="140" cm="1">
        <f t="array" ref="X17">SUMPRODUCT(ISNUMBER( SEARCH('13 Space Heating Costs'!$C$7:$AW$7,'12 Space Heating Subcomponents'!K35)) *'13 Space Heating Costs'!$C$18:$AW$18)</f>
        <v>3897.4156841609265</v>
      </c>
      <c r="Y17" s="140" cm="1">
        <f t="array" ref="Y17">SUMPRODUCT(ISNUMBER( SEARCH('13 Space Heating Costs'!$C$7:$AW$7,'12 Space Heating Subcomponents'!L35)) *'13 Space Heating Costs'!$C$18:$AW$18)</f>
        <v>3849.6063746699856</v>
      </c>
      <c r="Z17" s="140" cm="1">
        <f t="array" ref="Z17">SUMPRODUCT(ISNUMBER( SEARCH('13 Space Heating Costs'!$C$7:$AW$7,'12 Space Heating Subcomponents'!M35)) *'13 Space Heating Costs'!$C$18:$AW$18)</f>
        <v>3675.164153361131</v>
      </c>
      <c r="AA17" s="139"/>
      <c r="AB17" s="140" cm="1">
        <f t="array" ref="AB17">SUMPRODUCT(ISNUMBER( SEARCH('13 Space Heating Costs'!$C$7:$AW$7,'12 Space Heating Subcomponents'!O35)) *'13 Space Heating Costs'!$C$18:$AW$18)</f>
        <v>3675.164153361131</v>
      </c>
      <c r="AC17" s="140" cm="1">
        <f t="array" ref="AC17">SUMPRODUCT(ISNUMBER( SEARCH('13 Space Heating Costs'!$C$7:$AW$7,'12 Space Heating Subcomponents'!P35)) *'13 Space Heating Costs'!$C$18:$AW$18)</f>
        <v>4973.1251477070909</v>
      </c>
      <c r="AD17" s="402" cm="1">
        <f t="array" ref="AD17">SUMPRODUCT(ISNUMBER( SEARCH('13 Space Heating Costs'!$C$7:$AW$7,'12 Space Heating Subcomponents'!Q35)) *'13 Space Heating Costs'!$C$18:$AW$18)</f>
        <v>5673.4722881422895</v>
      </c>
      <c r="AE17" s="72"/>
      <c r="AF17" s="1105"/>
      <c r="AG17" s="182" t="s">
        <v>246</v>
      </c>
      <c r="AH17" s="182" t="s">
        <v>249</v>
      </c>
      <c r="AI17" s="140" cm="1">
        <f t="array" ref="AI17">SUMPRODUCT(ISNUMBER( SEARCH('13 Space Heating Costs'!$C$7:$AW$7,'12 Space Heating Subcomponents'!G51)) *'13 Space Heating Costs'!$C$18:$AW$18)</f>
        <v>4047.2181872325405</v>
      </c>
      <c r="AJ17" s="140" cm="1">
        <f t="array" ref="AJ17">SUMPRODUCT(ISNUMBER( SEARCH('13 Space Heating Costs'!$C$7:$AW$7,'12 Space Heating Subcomponents'!H51)) *'13 Space Heating Costs'!$C$18:$AW$18)</f>
        <v>5307.7903141436755</v>
      </c>
      <c r="AK17" s="140" cm="1">
        <f t="array" ref="AK17">SUMPRODUCT(ISNUMBER( SEARCH('13 Space Heating Costs'!$C$7:$AW$7,'12 Space Heating Subcomponents'!I51)) *'13 Space Heating Costs'!$C$18:$AW$18)</f>
        <v>3139.5788851224356</v>
      </c>
      <c r="AL17" s="140" cm="1">
        <f t="array" ref="AL17">SUMPRODUCT(ISNUMBER( SEARCH('13 Space Heating Costs'!$C$7:$AW$7,'12 Space Heating Subcomponents'!J51)) *'13 Space Heating Costs'!$C$18:$AW$18)</f>
        <v>4406.5255866323623</v>
      </c>
      <c r="AM17" s="140" cm="1">
        <f t="array" ref="AM17">SUMPRODUCT(ISNUMBER( SEARCH('13 Space Heating Costs'!$C$7:$AW$7,'12 Space Heating Subcomponents'!K51)) *'13 Space Heating Costs'!$C$18:$AW$18)</f>
        <v>3897.4156841609265</v>
      </c>
      <c r="AN17" s="140" cm="1">
        <f t="array" ref="AN17">SUMPRODUCT(ISNUMBER( SEARCH('13 Space Heating Costs'!$C$7:$AW$7,'12 Space Heating Subcomponents'!L51)) *'13 Space Heating Costs'!$C$18:$AW$18)</f>
        <v>3849.6063746699856</v>
      </c>
      <c r="AO17" s="140" cm="1">
        <f t="array" ref="AO17">SUMPRODUCT(ISNUMBER( SEARCH('13 Space Heating Costs'!$C$7:$AW$7,'12 Space Heating Subcomponents'!M51)) *'13 Space Heating Costs'!$C$18:$AW$18)</f>
        <v>3675.164153361131</v>
      </c>
      <c r="AP17" s="139"/>
      <c r="AQ17" s="140" cm="1">
        <f t="array" ref="AQ17">SUMPRODUCT(ISNUMBER( SEARCH('13 Space Heating Costs'!$C$7:$AW$7,'12 Space Heating Subcomponents'!O51)) *'13 Space Heating Costs'!$C$18:$AW$18)</f>
        <v>3675.164153361131</v>
      </c>
      <c r="AR17" s="140" cm="1">
        <f t="array" ref="AR17">SUMPRODUCT(ISNUMBER( SEARCH('13 Space Heating Costs'!$C$7:$AW$7,'12 Space Heating Subcomponents'!P51)) *'13 Space Heating Costs'!$C$18:$AW$18)</f>
        <v>4973.1251477070909</v>
      </c>
      <c r="AS17" s="402" cm="1">
        <f t="array" ref="AS17">SUMPRODUCT(ISNUMBER( SEARCH('13 Space Heating Costs'!$C$7:$AW$7,'12 Space Heating Subcomponents'!Q51)) *'13 Space Heating Costs'!$C$18:$AW$18)</f>
        <v>5673.4722881422895</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Costs'!$C$18:$AW$18)</f>
        <v>16748.279404882262</v>
      </c>
      <c r="F18" s="140" cm="1">
        <f t="array" ref="F18">SUMPRODUCT(ISNUMBER( SEARCH('13 Space Heating Costs'!$C$7:$AW$7,'12 Space Heating Subcomponents'!H20)) *'13 Space Heating Costs'!$C$18:$AW$18)</f>
        <v>21394.077283077604</v>
      </c>
      <c r="G18" s="140" cm="1">
        <f t="array" ref="G18">SUMPRODUCT(ISNUMBER( SEARCH('13 Space Heating Costs'!$C$7:$AW$7,'12 Space Heating Subcomponents'!I20)) *'13 Space Heating Costs'!$C$18:$AW$18)</f>
        <v>16741.904830283471</v>
      </c>
      <c r="H18" s="140" cm="1">
        <f t="array" ref="H18">SUMPRODUCT(ISNUMBER( SEARCH('13 Space Heating Costs'!$C$7:$AW$7,'12 Space Heating Subcomponents'!J20)) *'13 Space Heating Costs'!$C$18:$AW$18)</f>
        <v>21394.077283077604</v>
      </c>
      <c r="I18" s="140" cm="1">
        <f t="array" ref="I18">SUMPRODUCT(ISNUMBER( SEARCH('13 Space Heating Costs'!$C$7:$AW$7,'12 Space Heating Subcomponents'!K20)) *'13 Space Heating Costs'!$C$18:$AW$18)</f>
        <v>16598.476901810649</v>
      </c>
      <c r="J18" s="140" cm="1">
        <f t="array" ref="J18">SUMPRODUCT(ISNUMBER( SEARCH('13 Space Heating Costs'!$C$7:$AW$7,'12 Space Heating Subcomponents'!L20)) *'13 Space Heating Costs'!$C$18:$AW$18)</f>
        <v>20545.050249586875</v>
      </c>
      <c r="K18" s="140" cm="1">
        <f t="array" ref="K18">SUMPRODUCT(ISNUMBER( SEARCH('13 Space Heating Costs'!$C$7:$AW$7,'12 Space Heating Subcomponents'!M20)) *'13 Space Heating Costs'!$C$18:$AW$18)</f>
        <v>16376.225371010854</v>
      </c>
      <c r="L18" s="140" cm="1">
        <f t="array" ref="L18">SUMPRODUCT(ISNUMBER( SEARCH('13 Space Heating Costs'!$C$7:$AW$7,'12 Space Heating Subcomponents'!N20)) *'13 Space Heating Costs'!$C$18:$AW$18)</f>
        <v>19815.236595472368</v>
      </c>
      <c r="M18" s="139"/>
      <c r="N18" s="140" cm="1">
        <f t="array" ref="N18">SUMPRODUCT(ISNUMBER( SEARCH('13 Space Heating Costs'!$C$7:$AW$7,'12 Space Heating Subcomponents'!P20)) *'13 Space Heating Costs'!$C$18:$AW$18)</f>
        <v>21059.412116641019</v>
      </c>
      <c r="O18" s="402" cm="1">
        <f t="array" ref="O18">SUMPRODUCT(ISNUMBER( SEARCH('13 Space Heating Costs'!$C$7:$AW$7,'12 Space Heating Subcomponents'!Q20)) *'13 Space Heating Costs'!$C$18:$AW$18)</f>
        <v>19136.801204086143</v>
      </c>
      <c r="P18" s="72"/>
      <c r="Q18" s="1105"/>
      <c r="R18" s="182" t="s">
        <v>246</v>
      </c>
      <c r="S18" s="182" t="s">
        <v>250</v>
      </c>
      <c r="T18" s="140" cm="1">
        <f t="array" ref="T18">SUMPRODUCT(ISNUMBER( SEARCH('13 Space Heating Costs'!$C$7:$AW$7,'12 Space Heating Subcomponents'!G36)) *'13 Space Heating Costs'!$C$18:$AW$18)</f>
        <v>16748.279404882262</v>
      </c>
      <c r="U18" s="140" cm="1">
        <f t="array" ref="U18">SUMPRODUCT(ISNUMBER( SEARCH('13 Space Heating Costs'!$C$7:$AW$7,'12 Space Heating Subcomponents'!H36)) *'13 Space Heating Costs'!$C$18:$AW$18)</f>
        <v>21394.077283077604</v>
      </c>
      <c r="V18" s="140" cm="1">
        <f t="array" ref="V18">SUMPRODUCT(ISNUMBER( SEARCH('13 Space Heating Costs'!$C$7:$AW$7,'12 Space Heating Subcomponents'!I36)) *'13 Space Heating Costs'!$C$18:$AW$18)</f>
        <v>16741.904830283471</v>
      </c>
      <c r="W18" s="140" cm="1">
        <f t="array" ref="W18">SUMPRODUCT(ISNUMBER( SEARCH('13 Space Heating Costs'!$C$7:$AW$7,'12 Space Heating Subcomponents'!J36)) *'13 Space Heating Costs'!$C$18:$AW$18)</f>
        <v>21394.077283077604</v>
      </c>
      <c r="X18" s="140" cm="1">
        <f t="array" ref="X18">SUMPRODUCT(ISNUMBER( SEARCH('13 Space Heating Costs'!$C$7:$AW$7,'12 Space Heating Subcomponents'!K36)) *'13 Space Heating Costs'!$C$18:$AW$18)</f>
        <v>16598.476901810649</v>
      </c>
      <c r="Y18" s="140" cm="1">
        <f t="array" ref="Y18">SUMPRODUCT(ISNUMBER( SEARCH('13 Space Heating Costs'!$C$7:$AW$7,'12 Space Heating Subcomponents'!L36)) *'13 Space Heating Costs'!$C$18:$AW$18)</f>
        <v>20545.050249586875</v>
      </c>
      <c r="Z18" s="140" cm="1">
        <f t="array" ref="Z18">SUMPRODUCT(ISNUMBER( SEARCH('13 Space Heating Costs'!$C$7:$AW$7,'12 Space Heating Subcomponents'!M36)) *'13 Space Heating Costs'!$C$18:$AW$18)</f>
        <v>16376.225371010854</v>
      </c>
      <c r="AA18" s="140" cm="1">
        <f t="array" ref="AA18">SUMPRODUCT(ISNUMBER( SEARCH('13 Space Heating Costs'!$C$7:$AW$7,'12 Space Heating Subcomponents'!N36)) *'13 Space Heating Costs'!$C$18:$AW$18)</f>
        <v>19815.236595472368</v>
      </c>
      <c r="AB18" s="139"/>
      <c r="AC18" s="140" cm="1">
        <f t="array" ref="AC18">SUMPRODUCT(ISNUMBER( SEARCH('13 Space Heating Costs'!$C$7:$AW$7,'12 Space Heating Subcomponents'!P36)) *'13 Space Heating Costs'!$C$18:$AW$18)</f>
        <v>21059.412116641019</v>
      </c>
      <c r="AD18" s="402" cm="1">
        <f t="array" ref="AD18">SUMPRODUCT(ISNUMBER( SEARCH('13 Space Heating Costs'!$C$7:$AW$7,'12 Space Heating Subcomponents'!Q36)) *'13 Space Heating Costs'!$C$18:$AW$18)</f>
        <v>19136.801204086143</v>
      </c>
      <c r="AE18" s="72"/>
      <c r="AF18" s="1105"/>
      <c r="AG18" s="182" t="s">
        <v>246</v>
      </c>
      <c r="AH18" s="182" t="s">
        <v>250</v>
      </c>
      <c r="AI18" s="140" cm="1">
        <f t="array" ref="AI18">SUMPRODUCT(ISNUMBER( SEARCH('13 Space Heating Costs'!$C$7:$AW$7,'12 Space Heating Subcomponents'!G52)) *'13 Space Heating Costs'!$C$18:$AW$18)</f>
        <v>16748.279404882262</v>
      </c>
      <c r="AJ18" s="140" cm="1">
        <f t="array" ref="AJ18">SUMPRODUCT(ISNUMBER( SEARCH('13 Space Heating Costs'!$C$7:$AW$7,'12 Space Heating Subcomponents'!H52)) *'13 Space Heating Costs'!$C$18:$AW$18)</f>
        <v>21394.077283077604</v>
      </c>
      <c r="AK18" s="140" cm="1">
        <f t="array" ref="AK18">SUMPRODUCT(ISNUMBER( SEARCH('13 Space Heating Costs'!$C$7:$AW$7,'12 Space Heating Subcomponents'!I52)) *'13 Space Heating Costs'!$C$18:$AW$18)</f>
        <v>16741.904830283471</v>
      </c>
      <c r="AL18" s="140" cm="1">
        <f t="array" ref="AL18">SUMPRODUCT(ISNUMBER( SEARCH('13 Space Heating Costs'!$C$7:$AW$7,'12 Space Heating Subcomponents'!J52)) *'13 Space Heating Costs'!$C$18:$AW$18)</f>
        <v>21394.077283077604</v>
      </c>
      <c r="AM18" s="140" cm="1">
        <f t="array" ref="AM18">SUMPRODUCT(ISNUMBER( SEARCH('13 Space Heating Costs'!$C$7:$AW$7,'12 Space Heating Subcomponents'!K52)) *'13 Space Heating Costs'!$C$18:$AW$18)</f>
        <v>16598.476901810649</v>
      </c>
      <c r="AN18" s="140" cm="1">
        <f t="array" ref="AN18">SUMPRODUCT(ISNUMBER( SEARCH('13 Space Heating Costs'!$C$7:$AW$7,'12 Space Heating Subcomponents'!L52)) *'13 Space Heating Costs'!$C$18:$AW$18)</f>
        <v>20545.050249586875</v>
      </c>
      <c r="AO18" s="140" cm="1">
        <f t="array" ref="AO18">SUMPRODUCT(ISNUMBER( SEARCH('13 Space Heating Costs'!$C$7:$AW$7,'12 Space Heating Subcomponents'!M52)) *'13 Space Heating Costs'!$C$18:$AW$18)</f>
        <v>16376.225371010854</v>
      </c>
      <c r="AP18" s="140" cm="1">
        <f t="array" ref="AP18">SUMPRODUCT(ISNUMBER( SEARCH('13 Space Heating Costs'!$C$7:$AW$7,'12 Space Heating Subcomponents'!N52)) *'13 Space Heating Costs'!$C$18:$AW$18)</f>
        <v>19815.236595472368</v>
      </c>
      <c r="AQ18" s="139"/>
      <c r="AR18" s="140" cm="1">
        <f t="array" ref="AR18">SUMPRODUCT(ISNUMBER( SEARCH('13 Space Heating Costs'!$C$7:$AW$7,'12 Space Heating Subcomponents'!P52)) *'13 Space Heating Costs'!$C$18:$AW$18)</f>
        <v>21059.412116641019</v>
      </c>
      <c r="AS18" s="402" cm="1">
        <f t="array" ref="AS18">SUMPRODUCT(ISNUMBER( SEARCH('13 Space Heating Costs'!$C$7:$AW$7,'12 Space Heating Subcomponents'!Q52)) *'13 Space Heating Costs'!$C$18:$AW$18)</f>
        <v>19136.801204086143</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Costs'!$C$18:$AW$18)</f>
        <v>2695.4639201839518</v>
      </c>
      <c r="F19" s="140" cm="1">
        <f t="array" ref="F19">SUMPRODUCT(ISNUMBER( SEARCH('13 Space Heating Costs'!$C$7:$AW$7,'12 Space Heating Subcomponents'!H21)) *'13 Space Heating Costs'!$C$18:$AW$18)</f>
        <v>3956.0360470950868</v>
      </c>
      <c r="G19" s="140" cm="1">
        <f t="array" ref="G19">SUMPRODUCT(ISNUMBER( SEARCH('13 Space Heating Costs'!$C$7:$AW$7,'12 Space Heating Subcomponents'!I21)) *'13 Space Heating Costs'!$C$18:$AW$18)</f>
        <v>6074.3150968693644</v>
      </c>
      <c r="H19" s="140" cm="1">
        <f t="array" ref="H19">SUMPRODUCT(ISNUMBER( SEARCH('13 Space Heating Costs'!$C$7:$AW$7,'12 Space Heating Subcomponents'!J21)) *'13 Space Heating Costs'!$C$18:$AW$18)</f>
        <v>7341.2617983792916</v>
      </c>
      <c r="I19" s="140" cm="1">
        <f t="array" ref="I19">SUMPRODUCT(ISNUMBER( SEARCH('13 Space Heating Costs'!$C$7:$AW$7,'12 Space Heating Subcomponents'!K21)) *'13 Space Heating Costs'!$C$18:$AW$18)</f>
        <v>3154.8183230952955</v>
      </c>
      <c r="J19" s="140" cm="1">
        <f t="array" ref="J19">SUMPRODUCT(ISNUMBER( SEARCH('13 Space Heating Costs'!$C$7:$AW$7,'12 Space Heating Subcomponents'!L21)) *'13 Space Heating Costs'!$C$18:$AW$18)</f>
        <v>6492.2347648885607</v>
      </c>
      <c r="K19" s="140" cm="1">
        <f t="array" ref="K19">SUMPRODUCT(ISNUMBER( SEARCH('13 Space Heating Costs'!$C$7:$AW$7,'12 Space Heating Subcomponents'!M21)) *'13 Space Heating Costs'!$C$18:$AW$18)</f>
        <v>3680.7207274956427</v>
      </c>
      <c r="L19" s="140" cm="1">
        <f t="array" ref="L19">SUMPRODUCT(ISNUMBER( SEARCH('13 Space Heating Costs'!$C$7:$AW$7,'12 Space Heating Subcomponents'!N21)) *'13 Space Heating Costs'!$C$18:$AW$18)</f>
        <v>7119.7319519571556</v>
      </c>
      <c r="M19" s="140" cm="1">
        <f t="array" ref="M19">SUMPRODUCT(ISNUMBER( SEARCH('13 Space Heating Costs'!$C$7:$AW$7,'12 Space Heating Subcomponents'!O21)) *'13 Space Heating Costs'!$C$18:$AW$18)</f>
        <v>3680.7207274956427</v>
      </c>
      <c r="N19" s="139"/>
      <c r="O19" s="402" cm="1">
        <f t="array" ref="O19">SUMPRODUCT(ISNUMBER( SEARCH('13 Space Heating Costs'!$C$7:$AW$7,'12 Space Heating Subcomponents'!Q21)) *'13 Space Heating Costs'!$C$18:$AW$18)</f>
        <v>9217.3654058721768</v>
      </c>
      <c r="P19" s="72"/>
      <c r="Q19" s="1105"/>
      <c r="R19" s="182" t="s">
        <v>86</v>
      </c>
      <c r="S19" s="182" t="s">
        <v>243</v>
      </c>
      <c r="T19" s="140" cm="1">
        <f t="array" ref="T19">SUMPRODUCT(ISNUMBER( SEARCH('13 Space Heating Costs'!$C$7:$AW$7,'12 Space Heating Subcomponents'!G37)) *'13 Space Heating Costs'!$C$18:$AW$18)</f>
        <v>3410.7400017022546</v>
      </c>
      <c r="U19" s="140" cm="1">
        <f t="array" ref="U19">SUMPRODUCT(ISNUMBER( SEARCH('13 Space Heating Costs'!$C$7:$AW$7,'12 Space Heating Subcomponents'!H37)) *'13 Space Heating Costs'!$C$18:$AW$18)</f>
        <v>4671.3121286133901</v>
      </c>
      <c r="V19" s="140" cm="1">
        <f t="array" ref="V19">SUMPRODUCT(ISNUMBER( SEARCH('13 Space Heating Costs'!$C$7:$AW$7,'12 Space Heating Subcomponents'!I37)) *'13 Space Heating Costs'!$C$18:$AW$18)</f>
        <v>6789.5911783876672</v>
      </c>
      <c r="W19" s="140" cm="1">
        <f t="array" ref="W19">SUMPRODUCT(ISNUMBER( SEARCH('13 Space Heating Costs'!$C$7:$AW$7,'12 Space Heating Subcomponents'!J37)) *'13 Space Heating Costs'!$C$18:$AW$18)</f>
        <v>8056.5378798975944</v>
      </c>
      <c r="X19" s="140" cm="1">
        <f t="array" ref="X19">SUMPRODUCT(ISNUMBER( SEARCH('13 Space Heating Costs'!$C$7:$AW$7,'12 Space Heating Subcomponents'!K37)) *'13 Space Heating Costs'!$C$18:$AW$18)</f>
        <v>3870.0944046135983</v>
      </c>
      <c r="Y19" s="140" cm="1">
        <f t="array" ref="Y19">SUMPRODUCT(ISNUMBER( SEARCH('13 Space Heating Costs'!$C$7:$AW$7,'12 Space Heating Subcomponents'!L37)) *'13 Space Heating Costs'!$C$18:$AW$18)</f>
        <v>7207.5108464068635</v>
      </c>
      <c r="Z19" s="140" cm="1">
        <f t="array" ref="Z19">SUMPRODUCT(ISNUMBER( SEARCH('13 Space Heating Costs'!$C$7:$AW$7,'12 Space Heating Subcomponents'!M37)) *'13 Space Heating Costs'!$C$18:$AW$18)</f>
        <v>4395.9968090139455</v>
      </c>
      <c r="AA19" s="140" cm="1">
        <f t="array" ref="AA19">SUMPRODUCT(ISNUMBER( SEARCH('13 Space Heating Costs'!$C$7:$AW$7,'12 Space Heating Subcomponents'!N37)) *'13 Space Heating Costs'!$C$18:$AW$18)</f>
        <v>7835.0080334754584</v>
      </c>
      <c r="AB19" s="140" cm="1">
        <f t="array" ref="AB19">SUMPRODUCT(ISNUMBER( SEARCH('13 Space Heating Costs'!$C$7:$AW$7,'12 Space Heating Subcomponents'!O37)) *'13 Space Heating Costs'!$C$18:$AW$18)</f>
        <v>4395.9968090139455</v>
      </c>
      <c r="AC19" s="139"/>
      <c r="AD19" s="402" cm="1">
        <f t="array" ref="AD19">SUMPRODUCT(ISNUMBER( SEARCH('13 Space Heating Costs'!$C$7:$AW$7,'12 Space Heating Subcomponents'!Q37)) *'13 Space Heating Costs'!$C$18:$AW$18)</f>
        <v>9932.6414873904796</v>
      </c>
      <c r="AE19" s="72"/>
      <c r="AF19" s="1105"/>
      <c r="AG19" s="182" t="s">
        <v>86</v>
      </c>
      <c r="AH19" s="182" t="s">
        <v>243</v>
      </c>
      <c r="AI19" s="140" cm="1">
        <f t="array" ref="AI19">SUMPRODUCT(ISNUMBER( SEARCH('13 Space Heating Costs'!$C$7:$AW$7,'12 Space Heating Subcomponents'!G53)) *'13 Space Heating Costs'!$C$18:$AW$18)</f>
        <v>2147.9223075296391</v>
      </c>
      <c r="AJ19" s="140" cm="1">
        <f t="array" ref="AJ19">SUMPRODUCT(ISNUMBER( SEARCH('13 Space Heating Costs'!$C$7:$AW$7,'12 Space Heating Subcomponents'!H53)) *'13 Space Heating Costs'!$C$18:$AW$18)</f>
        <v>3408.4944344407741</v>
      </c>
      <c r="AK19" s="140" cm="1">
        <f t="array" ref="AK19">SUMPRODUCT(ISNUMBER( SEARCH('13 Space Heating Costs'!$C$7:$AW$7,'12 Space Heating Subcomponents'!I53)) *'13 Space Heating Costs'!$C$18:$AW$18)</f>
        <v>5526.7734842150521</v>
      </c>
      <c r="AL19" s="140" cm="1">
        <f t="array" ref="AL19">SUMPRODUCT(ISNUMBER( SEARCH('13 Space Heating Costs'!$C$7:$AW$7,'12 Space Heating Subcomponents'!J53)) *'13 Space Heating Costs'!$C$18:$AW$18)</f>
        <v>6793.7201857249793</v>
      </c>
      <c r="AM19" s="140" cm="1">
        <f t="array" ref="AM19">SUMPRODUCT(ISNUMBER( SEARCH('13 Space Heating Costs'!$C$7:$AW$7,'12 Space Heating Subcomponents'!K53)) *'13 Space Heating Costs'!$C$18:$AW$18)</f>
        <v>2607.2767104409822</v>
      </c>
      <c r="AN19" s="140" cm="1">
        <f t="array" ref="AN19">SUMPRODUCT(ISNUMBER( SEARCH('13 Space Heating Costs'!$C$7:$AW$7,'12 Space Heating Subcomponents'!L53)) *'13 Space Heating Costs'!$C$18:$AW$18)</f>
        <v>5944.6931522342475</v>
      </c>
      <c r="AO19" s="140" cm="1">
        <f t="array" ref="AO19">SUMPRODUCT(ISNUMBER( SEARCH('13 Space Heating Costs'!$C$7:$AW$7,'12 Space Heating Subcomponents'!M53)) *'13 Space Heating Costs'!$C$18:$AW$18)</f>
        <v>3133.1791148413295</v>
      </c>
      <c r="AP19" s="140" cm="1">
        <f t="array" ref="AP19">SUMPRODUCT(ISNUMBER( SEARCH('13 Space Heating Costs'!$C$7:$AW$7,'12 Space Heating Subcomponents'!N53)) *'13 Space Heating Costs'!$C$18:$AW$18)</f>
        <v>6572.1903393028433</v>
      </c>
      <c r="AQ19" s="140" cm="1">
        <f t="array" ref="AQ19">SUMPRODUCT(ISNUMBER( SEARCH('13 Space Heating Costs'!$C$7:$AW$7,'12 Space Heating Subcomponents'!O53)) *'13 Space Heating Costs'!$C$18:$AW$18)</f>
        <v>3133.1791148413295</v>
      </c>
      <c r="AR19" s="139"/>
      <c r="AS19" s="402" cm="1">
        <f t="array" ref="AS19">SUMPRODUCT(ISNUMBER( SEARCH('13 Space Heating Costs'!$C$7:$AW$7,'12 Space Heating Subcomponents'!Q53)) *'13 Space Heating Costs'!$C$18:$AW$18)</f>
        <v>8669.8237932178636</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Costs'!$C$18:$AW$18)</f>
        <v>3821.1956217982006</v>
      </c>
      <c r="F20" s="403" cm="1">
        <f t="array" ref="F20">SUMPRODUCT(ISNUMBER( SEARCH('13 Space Heating Costs'!$C$7:$AW$7,'12 Space Heating Subcomponents'!H22)) *'13 Space Heating Costs'!$C$18:$AW$18)</f>
        <v>5081.7677487093351</v>
      </c>
      <c r="G20" s="403" cm="1">
        <f t="array" ref="G20">SUMPRODUCT(ISNUMBER( SEARCH('13 Space Heating Costs'!$C$7:$AW$7,'12 Space Heating Subcomponents'!I22)) *'13 Space Heating Costs'!$C$18:$AW$18)</f>
        <v>3814.8210471994084</v>
      </c>
      <c r="H20" s="403" cm="1">
        <f t="array" ref="H20">SUMPRODUCT(ISNUMBER( SEARCH('13 Space Heating Costs'!$C$7:$AW$7,'12 Space Heating Subcomponents'!J22)) *'13 Space Heating Costs'!$C$18:$AW$18)</f>
        <v>5081.7677487093351</v>
      </c>
      <c r="I20" s="403" cm="1">
        <f t="array" ref="I20">SUMPRODUCT(ISNUMBER( SEARCH('13 Space Heating Costs'!$C$7:$AW$7,'12 Space Heating Subcomponents'!K22)) *'13 Space Heating Costs'!$C$18:$AW$18)</f>
        <v>3671.3931187265866</v>
      </c>
      <c r="J20" s="403" cm="1">
        <f t="array" ref="J20">SUMPRODUCT(ISNUMBER( SEARCH('13 Space Heating Costs'!$C$7:$AW$7,'12 Space Heating Subcomponents'!L22)) *'13 Space Heating Costs'!$C$18:$AW$18)</f>
        <v>3623.5838092356457</v>
      </c>
      <c r="K20" s="403" cm="1">
        <f t="array" ref="K20">SUMPRODUCT(ISNUMBER( SEARCH('13 Space Heating Costs'!$C$7:$AW$7,'12 Space Heating Subcomponents'!M22)) *'13 Space Heating Costs'!$C$18:$AW$18)</f>
        <v>4197.2955231269334</v>
      </c>
      <c r="L20" s="403" cm="1">
        <f t="array" ref="L20">SUMPRODUCT(ISNUMBER( SEARCH('13 Space Heating Costs'!$C$7:$AW$7,'12 Space Heating Subcomponents'!N22)) *'13 Space Heating Costs'!$C$18:$AW$18)</f>
        <v>4251.080996304242</v>
      </c>
      <c r="M20" s="403" cm="1">
        <f t="array" ref="M20">SUMPRODUCT(ISNUMBER( SEARCH('13 Space Heating Costs'!$C$7:$AW$7,'12 Space Heating Subcomponents'!O22)) *'13 Space Heating Costs'!$C$18:$AW$18)</f>
        <v>4197.2955231269334</v>
      </c>
      <c r="N20" s="403" cm="1">
        <f t="array" ref="N20">SUMPRODUCT(ISNUMBER( SEARCH('13 Space Heating Costs'!$C$7:$AW$7,'12 Space Heating Subcomponents'!P22)) *'13 Space Heating Costs'!$C$18:$AW$18)</f>
        <v>4747.1025822727515</v>
      </c>
      <c r="O20" s="516"/>
      <c r="P20" s="58"/>
      <c r="Q20" s="1106"/>
      <c r="R20" s="366" t="s">
        <v>252</v>
      </c>
      <c r="S20" s="366" t="s">
        <v>253</v>
      </c>
      <c r="T20" s="403" cm="1">
        <f t="array" ref="T20">SUMPRODUCT(ISNUMBER( SEARCH('13 Space Heating Costs'!$C$7:$AW$7,'12 Space Heating Subcomponents'!G38)) *'13 Space Heating Costs'!$C$18:$AW$18)</f>
        <v>3821.1956217982006</v>
      </c>
      <c r="U20" s="403" cm="1">
        <f t="array" ref="U20">SUMPRODUCT(ISNUMBER( SEARCH('13 Space Heating Costs'!$C$7:$AW$7,'12 Space Heating Subcomponents'!H38)) *'13 Space Heating Costs'!$C$18:$AW$18)</f>
        <v>5081.7677487093351</v>
      </c>
      <c r="V20" s="403" cm="1">
        <f t="array" ref="V20">SUMPRODUCT(ISNUMBER( SEARCH('13 Space Heating Costs'!$C$7:$AW$7,'12 Space Heating Subcomponents'!I38)) *'13 Space Heating Costs'!$C$18:$AW$18)</f>
        <v>3814.8210471994084</v>
      </c>
      <c r="W20" s="403" cm="1">
        <f t="array" ref="W20">SUMPRODUCT(ISNUMBER( SEARCH('13 Space Heating Costs'!$C$7:$AW$7,'12 Space Heating Subcomponents'!J38)) *'13 Space Heating Costs'!$C$18:$AW$18)</f>
        <v>5081.7677487093351</v>
      </c>
      <c r="X20" s="403" cm="1">
        <f t="array" ref="X20">SUMPRODUCT(ISNUMBER( SEARCH('13 Space Heating Costs'!$C$7:$AW$7,'12 Space Heating Subcomponents'!K38)) *'13 Space Heating Costs'!$C$18:$AW$18)</f>
        <v>3671.3931187265866</v>
      </c>
      <c r="Y20" s="403" cm="1">
        <f t="array" ref="Y20">SUMPRODUCT(ISNUMBER( SEARCH('13 Space Heating Costs'!$C$7:$AW$7,'12 Space Heating Subcomponents'!L38)) *'13 Space Heating Costs'!$C$18:$AW$18)</f>
        <v>3623.5838092356457</v>
      </c>
      <c r="Z20" s="403" cm="1">
        <f t="array" ref="Z20">SUMPRODUCT(ISNUMBER( SEARCH('13 Space Heating Costs'!$C$7:$AW$7,'12 Space Heating Subcomponents'!M38)) *'13 Space Heating Costs'!$C$18:$AW$18)</f>
        <v>4197.2955231269334</v>
      </c>
      <c r="AA20" s="403" cm="1">
        <f t="array" ref="AA20">SUMPRODUCT(ISNUMBER( SEARCH('13 Space Heating Costs'!$C$7:$AW$7,'12 Space Heating Subcomponents'!N38)) *'13 Space Heating Costs'!$C$18:$AW$18)</f>
        <v>4251.080996304242</v>
      </c>
      <c r="AB20" s="403" cm="1">
        <f t="array" ref="AB20">SUMPRODUCT(ISNUMBER( SEARCH('13 Space Heating Costs'!$C$7:$AW$7,'12 Space Heating Subcomponents'!O38)) *'13 Space Heating Costs'!$C$18:$AW$18)</f>
        <v>4197.2955231269334</v>
      </c>
      <c r="AC20" s="403" cm="1">
        <f t="array" ref="AC20">SUMPRODUCT(ISNUMBER( SEARCH('13 Space Heating Costs'!$C$7:$AW$7,'12 Space Heating Subcomponents'!P38)) *'13 Space Heating Costs'!$C$18:$AW$18)</f>
        <v>4747.1025822727515</v>
      </c>
      <c r="AD20" s="516"/>
      <c r="AE20" s="58"/>
      <c r="AF20" s="1106"/>
      <c r="AG20" s="366" t="s">
        <v>252</v>
      </c>
      <c r="AH20" s="366" t="s">
        <v>253</v>
      </c>
      <c r="AI20" s="403" cm="1">
        <f t="array" ref="AI20">SUMPRODUCT(ISNUMBER( SEARCH('13 Space Heating Costs'!$C$7:$AW$7,'12 Space Heating Subcomponents'!G54)) *'13 Space Heating Costs'!$C$18:$AW$18)</f>
        <v>3821.1956217982006</v>
      </c>
      <c r="AJ20" s="403" cm="1">
        <f t="array" ref="AJ20">SUMPRODUCT(ISNUMBER( SEARCH('13 Space Heating Costs'!$C$7:$AW$7,'12 Space Heating Subcomponents'!H54)) *'13 Space Heating Costs'!$C$18:$AW$18)</f>
        <v>5081.7677487093351</v>
      </c>
      <c r="AK20" s="403" cm="1">
        <f t="array" ref="AK20">SUMPRODUCT(ISNUMBER( SEARCH('13 Space Heating Costs'!$C$7:$AW$7,'12 Space Heating Subcomponents'!I54)) *'13 Space Heating Costs'!$C$18:$AW$18)</f>
        <v>3814.8210471994084</v>
      </c>
      <c r="AL20" s="403" cm="1">
        <f t="array" ref="AL20">SUMPRODUCT(ISNUMBER( SEARCH('13 Space Heating Costs'!$C$7:$AW$7,'12 Space Heating Subcomponents'!J54)) *'13 Space Heating Costs'!$C$18:$AW$18)</f>
        <v>5081.7677487093351</v>
      </c>
      <c r="AM20" s="403" cm="1">
        <f t="array" ref="AM20">SUMPRODUCT(ISNUMBER( SEARCH('13 Space Heating Costs'!$C$7:$AW$7,'12 Space Heating Subcomponents'!K54)) *'13 Space Heating Costs'!$C$18:$AW$18)</f>
        <v>3671.3931187265866</v>
      </c>
      <c r="AN20" s="403" cm="1">
        <f t="array" ref="AN20">SUMPRODUCT(ISNUMBER( SEARCH('13 Space Heating Costs'!$C$7:$AW$7,'12 Space Heating Subcomponents'!L54)) *'13 Space Heating Costs'!$C$18:$AW$18)</f>
        <v>3623.5838092356457</v>
      </c>
      <c r="AO20" s="403" cm="1">
        <f t="array" ref="AO20">SUMPRODUCT(ISNUMBER( SEARCH('13 Space Heating Costs'!$C$7:$AW$7,'12 Space Heating Subcomponents'!M54)) *'13 Space Heating Costs'!$C$18:$AW$18)</f>
        <v>4197.2955231269334</v>
      </c>
      <c r="AP20" s="403" cm="1">
        <f t="array" ref="AP20">SUMPRODUCT(ISNUMBER( SEARCH('13 Space Heating Costs'!$C$7:$AW$7,'12 Space Heating Subcomponents'!N54)) *'13 Space Heating Costs'!$C$18:$AW$18)</f>
        <v>4251.080996304242</v>
      </c>
      <c r="AQ20" s="403" cm="1">
        <f t="array" ref="AQ20">SUMPRODUCT(ISNUMBER( SEARCH('13 Space Heating Costs'!$C$7:$AW$7,'12 Space Heating Subcomponents'!O54)) *'13 Space Heating Costs'!$C$18:$AW$18)</f>
        <v>4197.2955231269334</v>
      </c>
      <c r="AR20" s="403" cm="1">
        <f t="array" ref="AR20">SUMPRODUCT(ISNUMBER( SEARCH('13 Space Heating Costs'!$C$7:$AW$7,'12 Space Heating Subcomponents'!P54)) *'13 Space Heating Costs'!$C$18:$AW$18)</f>
        <v>4747.1025822727515</v>
      </c>
      <c r="AS20" s="516"/>
      <c r="AT20" s="58"/>
    </row>
    <row r="21" spans="1:46" s="61" customFormat="1" ht="80.099999999999994"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A22" s="673"/>
      <c r="B22" s="1107" t="s">
        <v>1070</v>
      </c>
      <c r="C22" s="1108"/>
      <c r="D22" s="1108"/>
      <c r="E22" s="1108"/>
      <c r="F22" s="1108"/>
      <c r="G22" s="1108"/>
      <c r="H22" s="1109"/>
      <c r="I22"/>
      <c r="Q22" s="1107" t="s">
        <v>1071</v>
      </c>
      <c r="R22" s="1108"/>
      <c r="S22" s="1108"/>
      <c r="T22" s="1108"/>
      <c r="U22" s="1108"/>
      <c r="V22" s="1108"/>
      <c r="W22" s="1109"/>
      <c r="X22"/>
      <c r="AF22" s="1107" t="s">
        <v>1075</v>
      </c>
      <c r="AG22" s="1108"/>
      <c r="AH22" s="1108"/>
      <c r="AI22" s="1108"/>
      <c r="AJ22" s="1108"/>
      <c r="AK22" s="1108"/>
      <c r="AL22" s="1109"/>
      <c r="AM22" s="673"/>
      <c r="AN22" s="673"/>
      <c r="AO22" s="673"/>
      <c r="AP22" s="673"/>
      <c r="AQ22" s="673"/>
    </row>
    <row r="23" spans="1:46" s="5" customFormat="1" ht="79.900000000000006"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c r="AM23" s="675"/>
      <c r="AN23" s="675"/>
      <c r="AO23" s="675"/>
      <c r="AP23" s="675"/>
      <c r="AQ23" s="675"/>
    </row>
    <row r="24" spans="1:46" s="5" customFormat="1" ht="79.900000000000006"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c r="AM24" s="672"/>
      <c r="AN24" s="672"/>
      <c r="AO24" s="672"/>
      <c r="AP24" s="672"/>
      <c r="AQ24" s="672"/>
    </row>
    <row r="25" spans="1:46" s="5" customFormat="1" ht="79.900000000000006" customHeight="1" x14ac:dyDescent="0.25">
      <c r="B25" s="1114"/>
      <c r="C25" s="1115"/>
      <c r="D25" s="1122"/>
      <c r="E25" s="1122"/>
      <c r="F25" s="1122"/>
      <c r="G25" s="1122"/>
      <c r="H25" s="1124"/>
      <c r="I25"/>
      <c r="Q25" s="1114"/>
      <c r="R25" s="1115"/>
      <c r="S25" s="1122"/>
      <c r="T25" s="1122"/>
      <c r="U25" s="1122"/>
      <c r="V25" s="1122"/>
      <c r="W25" s="1124"/>
      <c r="X25"/>
      <c r="AF25" s="1114"/>
      <c r="AG25" s="1115"/>
      <c r="AH25" s="179"/>
      <c r="AI25" s="179"/>
      <c r="AJ25" s="179"/>
      <c r="AK25" s="179"/>
      <c r="AL25" s="180"/>
      <c r="AM25" s="676"/>
      <c r="AN25" s="676"/>
      <c r="AO25" s="676"/>
      <c r="AP25" s="676"/>
      <c r="AQ25" s="676"/>
    </row>
    <row r="26" spans="1:46" s="5" customFormat="1" ht="199.9" customHeight="1" x14ac:dyDescent="0.25">
      <c r="B26" s="1104" t="s">
        <v>952</v>
      </c>
      <c r="C26" s="149" t="s">
        <v>246</v>
      </c>
      <c r="D26" s="143" cm="1">
        <f t="array" ref="D26">SUMPRODUCT(ISNUMBER(SEARCH('16 Water Heating Costs'!$E$42:$AE$42,'16 Water Heating Costs'!F10)) *'16 Water Heating Costs'!$E$53:$AE$53)</f>
        <v>0</v>
      </c>
      <c r="E26" s="143" cm="1">
        <f t="array" ref="E26">SUMPRODUCT(ISNUMBER(SEARCH('16 Water Heating Costs'!$E$42:$AE$42,'16 Water Heating Costs'!G10)) *'16 Water Heating Costs'!$E$53:$AE$53)</f>
        <v>1043.2778218295273</v>
      </c>
      <c r="F26" s="143" cm="1">
        <f t="array" ref="F26">SUMPRODUCT(ISNUMBER(SEARCH('16 Water Heating Costs'!$E$42:$AE$42,'16 Water Heating Costs'!H10)) *'16 Water Heating Costs'!$E$53:$AE$53)</f>
        <v>1043.2778218295271</v>
      </c>
      <c r="G26" s="143" cm="1">
        <f t="array" ref="G26">SUMPRODUCT(ISNUMBER(SEARCH('16 Water Heating Costs'!$E$42:$AE$42,'16 Water Heating Costs'!I10)) *'16 Water Heating Costs'!$E$53:$AE$53)</f>
        <v>1043.2778218295271</v>
      </c>
      <c r="H26" s="150" cm="1">
        <f t="array" ref="H26">SUMPRODUCT(ISNUMBER(SEARCH('16 Water Heating Costs'!$E$42:$AE$42,'16 Water Heating Costs'!J10)) *'16 Water Heating Costs'!$E$53:$AE$53)</f>
        <v>828.15393520014243</v>
      </c>
      <c r="I26"/>
      <c r="Q26" s="1104" t="s">
        <v>952</v>
      </c>
      <c r="R26" s="149" t="s">
        <v>246</v>
      </c>
      <c r="S26" s="143" cm="1">
        <f t="array" ref="S26">SUMPRODUCT(ISNUMBER(SEARCH('16 Water Heating Costs'!$E$42:$AE$42,'16 Water Heating Costs'!N10)) *'16 Water Heating Costs'!$E$53:$AE$53)</f>
        <v>0</v>
      </c>
      <c r="T26" s="143" cm="1">
        <f t="array" ref="T26">SUMPRODUCT(ISNUMBER(SEARCH('16 Water Heating Costs'!$E$42:$AE$42,'16 Water Heating Costs'!O10)) *'16 Water Heating Costs'!$E$53:$AE$53)</f>
        <v>1043.2778218295273</v>
      </c>
      <c r="U26" s="143" cm="1">
        <f t="array" ref="U26">SUMPRODUCT(ISNUMBER(SEARCH('16 Water Heating Costs'!$E$42:$AE$42,'16 Water Heating Costs'!P10)) *'16 Water Heating Costs'!$E$53:$AE$53)</f>
        <v>1043.2778218295271</v>
      </c>
      <c r="V26" s="143" cm="1">
        <f t="array" ref="V26">SUMPRODUCT(ISNUMBER(SEARCH('16 Water Heating Costs'!$E$42:$AE$42,'16 Water Heating Costs'!Q10)) *'16 Water Heating Costs'!$E$53:$AE$53)</f>
        <v>1043.2778218295271</v>
      </c>
      <c r="W26" s="150" cm="1">
        <f t="array" ref="W26">SUMPRODUCT(ISNUMBER(SEARCH('16 Water Heating Costs'!$E$42:$AE$42,'16 Water Heating Costs'!R10)) *'16 Water Heating Costs'!$E$53:$AE$53)</f>
        <v>828.15393520014243</v>
      </c>
      <c r="X26"/>
      <c r="AF26" s="1104" t="s">
        <v>952</v>
      </c>
      <c r="AG26" s="149" t="s">
        <v>246</v>
      </c>
      <c r="AH26" s="143" cm="1">
        <f t="array" ref="AH26">SUMPRODUCT(ISNUMBER(SEARCH('16 Water Heating Costs'!$E$42:$AE$42,'16 Water Heating Costs'!V10)) *'16 Water Heating Costs'!$E$53:$AE$53)</f>
        <v>0</v>
      </c>
      <c r="AI26" s="143" cm="1">
        <f t="array" ref="AI26">SUMPRODUCT(ISNUMBER(SEARCH('16 Water Heating Costs'!$E$42:$AE$42,'16 Water Heating Costs'!W10)) *'16 Water Heating Costs'!$E$53:$AE$53)</f>
        <v>1043.2778218295273</v>
      </c>
      <c r="AJ26" s="143" cm="1">
        <f t="array" ref="AJ26">SUMPRODUCT(ISNUMBER(SEARCH('16 Water Heating Costs'!$E$42:$AE$42,'16 Water Heating Costs'!X10)) *'16 Water Heating Costs'!$E$53:$AE$53)</f>
        <v>1043.2778218295271</v>
      </c>
      <c r="AK26" s="143" cm="1">
        <f t="array" ref="AK26">SUMPRODUCT(ISNUMBER(SEARCH('16 Water Heating Costs'!$E$42:$AE$42,'16 Water Heating Costs'!Y10)) *'16 Water Heating Costs'!$E$53:$AE$53)</f>
        <v>1043.2778218295271</v>
      </c>
      <c r="AL26" s="150" cm="1">
        <f t="array" ref="AL26">SUMPRODUCT(ISNUMBER(SEARCH('16 Water Heating Costs'!$E$42:$AE$42,'16 Water Heating Costs'!Z10)) *'16 Water Heating Costs'!$E$53:$AE$53)</f>
        <v>828.15393520014243</v>
      </c>
      <c r="AM26" s="681"/>
      <c r="AN26" s="681"/>
      <c r="AO26" s="681"/>
      <c r="AP26" s="681"/>
      <c r="AQ26" s="681"/>
    </row>
    <row r="27" spans="1:46" s="5" customFormat="1" ht="199.9" customHeight="1" x14ac:dyDescent="0.25">
      <c r="B27" s="1105"/>
      <c r="C27" s="152" t="s">
        <v>244</v>
      </c>
      <c r="D27" s="687"/>
      <c r="E27" s="687"/>
      <c r="F27" s="687"/>
      <c r="G27" s="687"/>
      <c r="H27" s="689"/>
      <c r="I27"/>
      <c r="Q27" s="1105"/>
      <c r="R27" s="152" t="s">
        <v>244</v>
      </c>
      <c r="S27" s="687"/>
      <c r="T27" s="687"/>
      <c r="U27" s="687"/>
      <c r="V27" s="687"/>
      <c r="W27" s="689"/>
      <c r="X27"/>
      <c r="AF27" s="1119"/>
      <c r="AG27" s="152" t="s">
        <v>244</v>
      </c>
      <c r="AH27" s="687"/>
      <c r="AI27" s="687"/>
      <c r="AJ27" s="687"/>
      <c r="AK27" s="687"/>
      <c r="AL27" s="689"/>
      <c r="AM27" s="681"/>
      <c r="AN27" s="681"/>
      <c r="AO27" s="681"/>
      <c r="AP27" s="681"/>
      <c r="AQ27" s="681"/>
    </row>
    <row r="28" spans="1:46" s="5" customFormat="1" ht="199.9" customHeight="1" x14ac:dyDescent="0.25">
      <c r="B28" s="1105"/>
      <c r="C28" s="152" t="s">
        <v>86</v>
      </c>
      <c r="D28" s="143" cm="1">
        <f t="array" ref="D28">SUMPRODUCT(ISNUMBER(SEARCH('16 Water Heating Costs'!$E$42:$AE$42,'16 Water Heating Costs'!F12)) *'16 Water Heating Costs'!$E$53:$AE$53)</f>
        <v>3521.5236246173617</v>
      </c>
      <c r="E28" s="143" cm="1">
        <f t="array" ref="E28">SUMPRODUCT(ISNUMBER(SEARCH('16 Water Heating Costs'!$E$42:$AE$42,'16 Water Heating Costs'!G12)) *'16 Water Heating Costs'!$E$53:$AE$53)</f>
        <v>3047.4906052637889</v>
      </c>
      <c r="F28" s="143" cm="1">
        <f t="array" ref="F28">SUMPRODUCT(ISNUMBER(SEARCH('16 Water Heating Costs'!$E$42:$AE$42,'16 Water Heating Costs'!H12)) *'16 Water Heating Costs'!$E$53:$AE$53)</f>
        <v>2133.6904589933606</v>
      </c>
      <c r="G28" s="143" cm="1">
        <f t="array" ref="G28">SUMPRODUCT(ISNUMBER(SEARCH('16 Water Heating Costs'!$E$42:$AE$42,'16 Water Heating Costs'!I12)) *'16 Water Heating Costs'!$E$53:$AE$53)</f>
        <v>3047.4906052637889</v>
      </c>
      <c r="H28" s="150" cm="1">
        <f t="array" ref="H28">SUMPRODUCT(ISNUMBER(SEARCH('16 Water Heating Costs'!$E$42:$AE$42,'16 Water Heating Costs'!J12)) *'16 Water Heating Costs'!$E$53:$AE$53)</f>
        <v>3521.5236246173617</v>
      </c>
      <c r="I28"/>
      <c r="Q28" s="1105"/>
      <c r="R28" s="152" t="s">
        <v>86</v>
      </c>
      <c r="S28" s="143" cm="1">
        <f t="array" ref="S28">SUMPRODUCT(ISNUMBER(SEARCH('16 Water Heating Costs'!$E$42:$AE$42,'16 Water Heating Costs'!N12)) *'16 Water Heating Costs'!$E$53:$AE$53)</f>
        <v>4125.4032521724239</v>
      </c>
      <c r="T28" s="143" cm="1">
        <f t="array" ref="T28">SUMPRODUCT(ISNUMBER(SEARCH('16 Water Heating Costs'!$E$42:$AE$42,'16 Water Heating Costs'!O12)) *'16 Water Heating Costs'!$E$53:$AE$53)</f>
        <v>3651.370232818851</v>
      </c>
      <c r="U28" s="143" cm="1">
        <f t="array" ref="U28">SUMPRODUCT(ISNUMBER(SEARCH('16 Water Heating Costs'!$E$42:$AE$42,'16 Water Heating Costs'!P12)) *'16 Water Heating Costs'!$E$53:$AE$53)</f>
        <v>2737.5700865484223</v>
      </c>
      <c r="V28" s="143" cm="1">
        <f t="array" ref="V28">SUMPRODUCT(ISNUMBER(SEARCH('16 Water Heating Costs'!$E$42:$AE$42,'16 Water Heating Costs'!Q12)) *'16 Water Heating Costs'!$E$53:$AE$53)</f>
        <v>3651.370232818851</v>
      </c>
      <c r="W28" s="150" cm="1">
        <f t="array" ref="W28">SUMPRODUCT(ISNUMBER(SEARCH('16 Water Heating Costs'!$E$42:$AE$42,'16 Water Heating Costs'!R12)) *'16 Water Heating Costs'!$E$53:$AE$53)</f>
        <v>4125.4032521724239</v>
      </c>
      <c r="X28"/>
      <c r="AF28" s="1119"/>
      <c r="AG28" s="152" t="s">
        <v>86</v>
      </c>
      <c r="AH28" s="143" cm="1">
        <f t="array" ref="AH28">SUMPRODUCT(ISNUMBER(SEARCH('16 Water Heating Costs'!$E$42:$AE$42,'16 Water Heating Costs'!V12)) *'16 Water Heating Costs'!$E$53:$AE$53)</f>
        <v>3059.2556505244474</v>
      </c>
      <c r="AI28" s="143" cm="1">
        <f t="array" ref="AI28">SUMPRODUCT(ISNUMBER(SEARCH('16 Water Heating Costs'!$E$42:$AE$42,'16 Water Heating Costs'!W12)) *'16 Water Heating Costs'!$E$53:$AE$53)</f>
        <v>2585.2226311708746</v>
      </c>
      <c r="AJ28" s="143" cm="1">
        <f t="array" ref="AJ28">SUMPRODUCT(ISNUMBER(SEARCH('16 Water Heating Costs'!$E$42:$AE$42,'16 Water Heating Costs'!X12)) *'16 Water Heating Costs'!$E$53:$AE$53)</f>
        <v>1671.4224849004461</v>
      </c>
      <c r="AK28" s="143" cm="1">
        <f t="array" ref="AK28">SUMPRODUCT(ISNUMBER(SEARCH('16 Water Heating Costs'!$E$42:$AE$42,'16 Water Heating Costs'!Y12)) *'16 Water Heating Costs'!$E$53:$AE$53)</f>
        <v>2585.2226311708746</v>
      </c>
      <c r="AL28" s="150" cm="1">
        <f t="array" ref="AL28">SUMPRODUCT(ISNUMBER(SEARCH('16 Water Heating Costs'!$E$42:$AE$42,'16 Water Heating Costs'!Z12)) *'16 Water Heating Costs'!$E$53:$AE$53)</f>
        <v>3059.2556505244474</v>
      </c>
      <c r="AM28" s="681"/>
      <c r="AN28" s="681"/>
      <c r="AO28" s="681"/>
      <c r="AP28" s="681"/>
      <c r="AQ28" s="681"/>
    </row>
    <row r="29" spans="1:46" s="5" customFormat="1" ht="199.9" customHeight="1" x14ac:dyDescent="0.25">
      <c r="B29" s="1105"/>
      <c r="C29" s="152" t="s">
        <v>242</v>
      </c>
      <c r="D29" s="143" cm="1">
        <f t="array" ref="D29">SUMPRODUCT(ISNUMBER(SEARCH('16 Water Heating Costs'!$E$42:$AE$42,'16 Water Heating Costs'!F13)) *'16 Water Heating Costs'!$E$53:$AE$53)</f>
        <v>3521.5236246173617</v>
      </c>
      <c r="E29" s="143" cm="1">
        <f t="array" ref="E29">SUMPRODUCT(ISNUMBER(SEARCH('16 Water Heating Costs'!$E$42:$AE$42,'16 Water Heating Costs'!G13)) *'16 Water Heating Costs'!$E$53:$AE$53)</f>
        <v>3047.4906052637889</v>
      </c>
      <c r="F29" s="143" cm="1">
        <f t="array" ref="F29">SUMPRODUCT(ISNUMBER(SEARCH('16 Water Heating Costs'!$E$42:$AE$42,'16 Water Heating Costs'!H13)) *'16 Water Heating Costs'!$E$53:$AE$53)</f>
        <v>3047.4906052637889</v>
      </c>
      <c r="G29" s="143" cm="1">
        <f t="array" ref="G29">SUMPRODUCT(ISNUMBER(SEARCH('16 Water Heating Costs'!$E$42:$AE$42,'16 Water Heating Costs'!I13)) *'16 Water Heating Costs'!$E$53:$AE$53)</f>
        <v>2133.6904589933606</v>
      </c>
      <c r="H29" s="150" cm="1">
        <f t="array" ref="H29">SUMPRODUCT(ISNUMBER(SEARCH('16 Water Heating Costs'!$E$42:$AE$42,'16 Water Heating Costs'!J13)) *'16 Water Heating Costs'!$E$53:$AE$53)</f>
        <v>3521.5236246173617</v>
      </c>
      <c r="I29"/>
      <c r="Q29" s="1105"/>
      <c r="R29" s="152" t="s">
        <v>242</v>
      </c>
      <c r="S29" s="143" cm="1">
        <f t="array" ref="S29">SUMPRODUCT(ISNUMBER(SEARCH('16 Water Heating Costs'!$E$42:$AE$42,'16 Water Heating Costs'!N13)) *'16 Water Heating Costs'!$E$53:$AE$53)</f>
        <v>4125.4032521724239</v>
      </c>
      <c r="T29" s="143" cm="1">
        <f t="array" ref="T29">SUMPRODUCT(ISNUMBER(SEARCH('16 Water Heating Costs'!$E$42:$AE$42,'16 Water Heating Costs'!O13)) *'16 Water Heating Costs'!$E$53:$AE$53)</f>
        <v>3651.370232818851</v>
      </c>
      <c r="U29" s="143" cm="1">
        <f t="array" ref="U29">SUMPRODUCT(ISNUMBER(SEARCH('16 Water Heating Costs'!$E$42:$AE$42,'16 Water Heating Costs'!P13)) *'16 Water Heating Costs'!$E$53:$AE$53)</f>
        <v>3651.370232818851</v>
      </c>
      <c r="V29" s="143" cm="1">
        <f t="array" ref="V29">SUMPRODUCT(ISNUMBER(SEARCH('16 Water Heating Costs'!$E$42:$AE$42,'16 Water Heating Costs'!Q13)) *'16 Water Heating Costs'!$E$53:$AE$53)</f>
        <v>2737.5700865484223</v>
      </c>
      <c r="W29" s="150" cm="1">
        <f t="array" ref="W29">SUMPRODUCT(ISNUMBER(SEARCH('16 Water Heating Costs'!$E$42:$AE$42,'16 Water Heating Costs'!R13)) *'16 Water Heating Costs'!$E$53:$AE$53)</f>
        <v>4125.4032521724239</v>
      </c>
      <c r="X29"/>
      <c r="AF29" s="1119"/>
      <c r="AG29" s="152" t="s">
        <v>242</v>
      </c>
      <c r="AH29" s="143" cm="1">
        <f t="array" ref="AH29">SUMPRODUCT(ISNUMBER(SEARCH('16 Water Heating Costs'!$E$42:$AE$42,'16 Water Heating Costs'!V13)) *'16 Water Heating Costs'!$E$53:$AE$53)</f>
        <v>3059.2556505244474</v>
      </c>
      <c r="AI29" s="143" cm="1">
        <f t="array" ref="AI29">SUMPRODUCT(ISNUMBER(SEARCH('16 Water Heating Costs'!$E$42:$AE$42,'16 Water Heating Costs'!W13)) *'16 Water Heating Costs'!$E$53:$AE$53)</f>
        <v>2585.2226311708746</v>
      </c>
      <c r="AJ29" s="143" cm="1">
        <f t="array" ref="AJ29">SUMPRODUCT(ISNUMBER(SEARCH('16 Water Heating Costs'!$E$42:$AE$42,'16 Water Heating Costs'!X13)) *'16 Water Heating Costs'!$E$53:$AE$53)</f>
        <v>2585.2226311708746</v>
      </c>
      <c r="AK29" s="143" cm="1">
        <f t="array" ref="AK29">SUMPRODUCT(ISNUMBER(SEARCH('16 Water Heating Costs'!$E$42:$AE$42,'16 Water Heating Costs'!Y13)) *'16 Water Heating Costs'!$E$53:$AE$53)</f>
        <v>1671.4224849004461</v>
      </c>
      <c r="AL29" s="150" cm="1">
        <f t="array" ref="AL29">SUMPRODUCT(ISNUMBER(SEARCH('16 Water Heating Costs'!$E$42:$AE$42,'16 Water Heating Costs'!Z13)) *'16 Water Heating Costs'!$E$53:$AE$53)</f>
        <v>3059.2556505244474</v>
      </c>
      <c r="AM29" s="681"/>
      <c r="AN29" s="681"/>
      <c r="AO29" s="681"/>
      <c r="AP29" s="681"/>
      <c r="AQ29" s="681"/>
    </row>
    <row r="30" spans="1:46" s="5" customFormat="1" ht="199.9" customHeight="1" thickBot="1" x14ac:dyDescent="0.3">
      <c r="B30" s="1106"/>
      <c r="C30" s="153" t="s">
        <v>172</v>
      </c>
      <c r="D30" s="690"/>
      <c r="E30" s="690"/>
      <c r="F30" s="690"/>
      <c r="G30" s="690"/>
      <c r="H30" s="688"/>
      <c r="I30"/>
      <c r="Q30" s="1106"/>
      <c r="R30" s="153" t="s">
        <v>172</v>
      </c>
      <c r="S30" s="690"/>
      <c r="T30" s="690"/>
      <c r="U30" s="690"/>
      <c r="V30" s="690"/>
      <c r="W30" s="688"/>
      <c r="X30"/>
      <c r="AF30" s="1120"/>
      <c r="AG30" s="153" t="s">
        <v>172</v>
      </c>
      <c r="AH30" s="690"/>
      <c r="AI30" s="690"/>
      <c r="AJ30" s="690"/>
      <c r="AK30" s="690"/>
      <c r="AL30" s="688"/>
      <c r="AM30" s="681"/>
      <c r="AN30" s="681"/>
      <c r="AO30" s="681"/>
      <c r="AP30" s="681"/>
      <c r="AQ30" s="681"/>
    </row>
    <row r="31" spans="1:46" s="59" customFormat="1" ht="80.099999999999994" customHeight="1" thickBot="1" x14ac:dyDescent="0.3">
      <c r="A31" s="154"/>
      <c r="B31"/>
      <c r="C31"/>
      <c r="D31"/>
      <c r="E31"/>
      <c r="F31"/>
      <c r="G31"/>
      <c r="H31"/>
      <c r="I31"/>
      <c r="J31" s="5"/>
      <c r="K31" s="5"/>
      <c r="L31" s="5"/>
      <c r="M31" s="5"/>
      <c r="N31" s="5"/>
      <c r="O31" s="5"/>
      <c r="P31" s="5"/>
      <c r="Q31"/>
      <c r="R31"/>
      <c r="S31"/>
      <c r="T31"/>
      <c r="U31"/>
      <c r="V31"/>
      <c r="W31"/>
      <c r="X31"/>
      <c r="Y31" s="5"/>
      <c r="Z31" s="5"/>
      <c r="AA31" s="5"/>
      <c r="AB31" s="5"/>
      <c r="AC31" s="5"/>
      <c r="AD31" s="5"/>
      <c r="AE31" s="5"/>
      <c r="AF31"/>
      <c r="AG31"/>
      <c r="AH31"/>
      <c r="AI31"/>
      <c r="AJ31"/>
      <c r="AK31"/>
      <c r="AL31"/>
    </row>
    <row r="32" spans="1:46" ht="175.15" customHeight="1" x14ac:dyDescent="0.25">
      <c r="A32" s="60"/>
      <c r="B32" s="1107" t="s">
        <v>1073</v>
      </c>
      <c r="C32" s="1108"/>
      <c r="D32" s="1108"/>
      <c r="E32" s="1108"/>
      <c r="F32" s="1108"/>
      <c r="G32" s="1108"/>
      <c r="H32" s="1109"/>
      <c r="I32"/>
      <c r="P32" s="5"/>
      <c r="Q32" s="1107" t="s">
        <v>1072</v>
      </c>
      <c r="R32" s="1108"/>
      <c r="S32" s="1108"/>
      <c r="T32" s="1108"/>
      <c r="U32" s="1108"/>
      <c r="V32" s="1108"/>
      <c r="W32" s="1109"/>
      <c r="X32"/>
      <c r="Y32" s="5"/>
      <c r="Z32" s="5"/>
      <c r="AA32" s="5"/>
      <c r="AB32" s="5"/>
      <c r="AC32" s="5"/>
      <c r="AD32" s="5"/>
      <c r="AE32" s="5"/>
      <c r="AF32" s="1107" t="s">
        <v>1076</v>
      </c>
      <c r="AG32" s="1108"/>
      <c r="AH32" s="1108"/>
      <c r="AI32" s="1108"/>
      <c r="AJ32" s="1108"/>
      <c r="AK32" s="1108"/>
      <c r="AL32" s="1109"/>
    </row>
    <row r="33" spans="1:38" ht="79.900000000000006" customHeight="1" x14ac:dyDescent="0.25">
      <c r="A33" s="60"/>
      <c r="B33" s="1110" t="s">
        <v>977</v>
      </c>
      <c r="C33" s="1111"/>
      <c r="D33" s="1116" t="s">
        <v>951</v>
      </c>
      <c r="E33" s="1117"/>
      <c r="F33" s="1117"/>
      <c r="G33" s="1117"/>
      <c r="H33" s="1118"/>
      <c r="I33"/>
      <c r="P33" s="5"/>
      <c r="Q33" s="1110" t="s">
        <v>977</v>
      </c>
      <c r="R33" s="1111"/>
      <c r="S33" s="1116" t="s">
        <v>951</v>
      </c>
      <c r="T33" s="1117"/>
      <c r="U33" s="1117"/>
      <c r="V33" s="1117"/>
      <c r="W33" s="1118"/>
      <c r="X33"/>
      <c r="Y33" s="5"/>
      <c r="Z33" s="5"/>
      <c r="AA33" s="5"/>
      <c r="AB33" s="5"/>
      <c r="AC33" s="5"/>
      <c r="AD33" s="5"/>
      <c r="AE33" s="5"/>
      <c r="AF33" s="1110" t="s">
        <v>977</v>
      </c>
      <c r="AG33" s="1111"/>
      <c r="AH33" s="1116" t="s">
        <v>951</v>
      </c>
      <c r="AI33" s="1117"/>
      <c r="AJ33" s="1117"/>
      <c r="AK33" s="1117"/>
      <c r="AL33" s="1118"/>
    </row>
    <row r="34" spans="1:38" ht="79.900000000000006" customHeight="1" x14ac:dyDescent="0.25">
      <c r="A34" s="60"/>
      <c r="B34" s="1112"/>
      <c r="C34" s="1113"/>
      <c r="D34" s="1121" t="s">
        <v>246</v>
      </c>
      <c r="E34" s="1121" t="s">
        <v>244</v>
      </c>
      <c r="F34" s="1121" t="s">
        <v>86</v>
      </c>
      <c r="G34" s="1121" t="s">
        <v>242</v>
      </c>
      <c r="H34" s="1123" t="s">
        <v>172</v>
      </c>
      <c r="I34"/>
      <c r="P34" s="5"/>
      <c r="Q34" s="1112"/>
      <c r="R34" s="1113"/>
      <c r="S34" s="1121" t="s">
        <v>246</v>
      </c>
      <c r="T34" s="1121" t="s">
        <v>244</v>
      </c>
      <c r="U34" s="1121" t="s">
        <v>86</v>
      </c>
      <c r="V34" s="1121" t="s">
        <v>242</v>
      </c>
      <c r="W34" s="1123" t="s">
        <v>172</v>
      </c>
      <c r="X34"/>
      <c r="Y34" s="5"/>
      <c r="Z34" s="5"/>
      <c r="AA34" s="5"/>
      <c r="AB34" s="5"/>
      <c r="AC34" s="5"/>
      <c r="AD34" s="5"/>
      <c r="AE34" s="5"/>
      <c r="AF34" s="1112"/>
      <c r="AG34" s="1113"/>
      <c r="AH34" s="668" t="s">
        <v>246</v>
      </c>
      <c r="AI34" s="668" t="s">
        <v>244</v>
      </c>
      <c r="AJ34" s="668" t="s">
        <v>86</v>
      </c>
      <c r="AK34" s="668" t="s">
        <v>242</v>
      </c>
      <c r="AL34" s="677" t="s">
        <v>172</v>
      </c>
    </row>
    <row r="35" spans="1:38" ht="79.900000000000006" customHeight="1" x14ac:dyDescent="0.25">
      <c r="A35" s="60"/>
      <c r="B35" s="1114"/>
      <c r="C35" s="1115"/>
      <c r="D35" s="1122"/>
      <c r="E35" s="1122"/>
      <c r="F35" s="1122"/>
      <c r="G35" s="1122"/>
      <c r="H35" s="1124"/>
      <c r="I35"/>
      <c r="P35" s="5"/>
      <c r="Q35" s="1114"/>
      <c r="R35" s="1115"/>
      <c r="S35" s="1122"/>
      <c r="T35" s="1122"/>
      <c r="U35" s="1122"/>
      <c r="V35" s="1122"/>
      <c r="W35" s="1124"/>
      <c r="X35"/>
      <c r="Y35" s="5"/>
      <c r="Z35" s="5"/>
      <c r="AA35" s="5"/>
      <c r="AB35" s="5"/>
      <c r="AC35" s="5"/>
      <c r="AD35" s="5"/>
      <c r="AE35" s="5"/>
      <c r="AF35" s="1114"/>
      <c r="AG35" s="1115"/>
      <c r="AH35" s="179"/>
      <c r="AI35" s="179"/>
      <c r="AJ35" s="179"/>
      <c r="AK35" s="179"/>
      <c r="AL35" s="180"/>
    </row>
    <row r="36" spans="1:38" ht="199.9" customHeight="1" x14ac:dyDescent="0.25">
      <c r="A36" s="60"/>
      <c r="B36" s="1104" t="s">
        <v>989</v>
      </c>
      <c r="C36" s="149" t="s">
        <v>246</v>
      </c>
      <c r="D36" s="687"/>
      <c r="E36" s="143" cm="1">
        <f t="array" ref="E36">SUMPRODUCT(ISNUMBER(SEARCH('16 Water Heating Costs'!$E$42:$AE$42,'16 Water Heating Costs'!G22)) *'16 Water Heating Costs'!$E$53:$AE$53)</f>
        <v>1043.2778218295273</v>
      </c>
      <c r="F36" s="143" cm="1">
        <f t="array" ref="F36">SUMPRODUCT(ISNUMBER(SEARCH('16 Water Heating Costs'!$E$42:$AE$42,'16 Water Heating Costs'!H22)) *'16 Water Heating Costs'!$E$53:$AE$53)</f>
        <v>1043.2778218295271</v>
      </c>
      <c r="G36" s="143" cm="1">
        <f t="array" ref="G36">SUMPRODUCT(ISNUMBER(SEARCH('16 Water Heating Costs'!$E$42:$AE$42,'16 Water Heating Costs'!I22)) *'16 Water Heating Costs'!$E$53:$AE$53)</f>
        <v>1043.2778218295271</v>
      </c>
      <c r="H36" s="150" cm="1">
        <f t="array" ref="H36">SUMPRODUCT(ISNUMBER(SEARCH('16 Water Heating Costs'!$E$42:$AE$42,'16 Water Heating Costs'!J22)) *'16 Water Heating Costs'!$E$53:$AE$53)</f>
        <v>828.15393520014243</v>
      </c>
      <c r="I36"/>
      <c r="P36" s="5"/>
      <c r="Q36" s="1104" t="s">
        <v>989</v>
      </c>
      <c r="R36" s="149" t="s">
        <v>246</v>
      </c>
      <c r="S36" s="687"/>
      <c r="T36" s="143" cm="1">
        <f t="array" ref="T36">SUMPRODUCT(ISNUMBER(SEARCH('16 Water Heating Costs'!$E$42:$AE$42,'16 Water Heating Costs'!O22)) *'16 Water Heating Costs'!$E$53:$AE$53)</f>
        <v>1043.2778218295273</v>
      </c>
      <c r="U36" s="143" cm="1">
        <f t="array" ref="U36">SUMPRODUCT(ISNUMBER(SEARCH('16 Water Heating Costs'!$E$42:$AE$42,'16 Water Heating Costs'!P22)) *'16 Water Heating Costs'!$E$53:$AE$53)</f>
        <v>1043.2778218295271</v>
      </c>
      <c r="V36" s="143" cm="1">
        <f t="array" ref="V36">SUMPRODUCT(ISNUMBER(SEARCH('16 Water Heating Costs'!$E$42:$AE$42,'16 Water Heating Costs'!Q22)) *'16 Water Heating Costs'!$E$53:$AE$53)</f>
        <v>1043.2778218295271</v>
      </c>
      <c r="W36" s="150" cm="1">
        <f t="array" ref="W36">SUMPRODUCT(ISNUMBER(SEARCH('16 Water Heating Costs'!$E$42:$AE$42,'16 Water Heating Costs'!R22)) *'16 Water Heating Costs'!$E$53:$AE$53)</f>
        <v>828.15393520014243</v>
      </c>
      <c r="X36"/>
      <c r="Y36" s="5"/>
      <c r="Z36" s="5"/>
      <c r="AA36" s="5"/>
      <c r="AB36" s="5"/>
      <c r="AC36" s="5"/>
      <c r="AD36" s="5"/>
      <c r="AE36" s="5"/>
      <c r="AF36" s="1104" t="s">
        <v>989</v>
      </c>
      <c r="AG36" s="149" t="s">
        <v>246</v>
      </c>
      <c r="AH36" s="687"/>
      <c r="AI36" s="143" cm="1">
        <f t="array" ref="AI36">SUMPRODUCT(ISNUMBER(SEARCH('16 Water Heating Costs'!$E$42:$AE$42,'16 Water Heating Costs'!W22)) *'16 Water Heating Costs'!$E$53:$AE$53)</f>
        <v>1043.2778218295273</v>
      </c>
      <c r="AJ36" s="143" cm="1">
        <f t="array" ref="AJ36">SUMPRODUCT(ISNUMBER(SEARCH('16 Water Heating Costs'!$E$42:$AE$42,'16 Water Heating Costs'!X22)) *'16 Water Heating Costs'!$E$53:$AE$53)</f>
        <v>1043.2778218295271</v>
      </c>
      <c r="AK36" s="143" cm="1">
        <f t="array" ref="AK36">SUMPRODUCT(ISNUMBER(SEARCH('16 Water Heating Costs'!$E$42:$AE$42,'16 Water Heating Costs'!Y22)) *'16 Water Heating Costs'!$E$53:$AE$53)</f>
        <v>1043.2778218295271</v>
      </c>
      <c r="AL36" s="150" cm="1">
        <f t="array" ref="AL36">SUMPRODUCT(ISNUMBER(SEARCH('16 Water Heating Costs'!$E$42:$AE$42,'16 Water Heating Costs'!Z22)) *'16 Water Heating Costs'!$E$53:$AE$53)</f>
        <v>828.15393520014243</v>
      </c>
    </row>
    <row r="37" spans="1:38" ht="199.9" customHeight="1" x14ac:dyDescent="0.25">
      <c r="A37" s="60"/>
      <c r="B37" s="1105"/>
      <c r="C37" s="152" t="s">
        <v>244</v>
      </c>
      <c r="D37" s="143" cm="1">
        <f t="array" ref="D37">SUMPRODUCT(ISNUMBER(SEARCH('16 Water Heating Costs'!$E$42:$AE$42,'16 Water Heating Costs'!F23)) *'16 Water Heating Costs'!$E$53:$AE$53)</f>
        <v>1134.0708274752885</v>
      </c>
      <c r="E37" s="687"/>
      <c r="F37" s="143" cm="1">
        <f t="array" ref="F37">SUMPRODUCT(ISNUMBER(SEARCH('16 Water Heating Costs'!$E$42:$AE$42,'16 Water Heating Costs'!H23)) *'16 Water Heating Costs'!$E$53:$AE$53)</f>
        <v>660.03780812171567</v>
      </c>
      <c r="G37" s="143" cm="1">
        <f t="array" ref="G37">SUMPRODUCT(ISNUMBER(SEARCH('16 Water Heating Costs'!$E$42:$AE$42,'16 Water Heating Costs'!I23)) *'16 Water Heating Costs'!$E$53:$AE$53)</f>
        <v>660.03780812171567</v>
      </c>
      <c r="H37" s="150" cm="1">
        <f t="array" ref="H37">SUMPRODUCT(ISNUMBER(SEARCH('16 Water Heating Costs'!$E$42:$AE$42,'16 Water Heating Costs'!J23)) *'16 Water Heating Costs'!$E$53:$AE$53)</f>
        <v>1134.0708274752885</v>
      </c>
      <c r="I37"/>
      <c r="P37" s="5"/>
      <c r="Q37" s="1105"/>
      <c r="R37" s="152" t="s">
        <v>244</v>
      </c>
      <c r="S37" s="143" cm="1">
        <f t="array" ref="S37">SUMPRODUCT(ISNUMBER(SEARCH('16 Water Heating Costs'!$E$42:$AE$42,'16 Water Heating Costs'!N23)) *'16 Water Heating Costs'!$E$53:$AE$53)</f>
        <v>1134.0708274752885</v>
      </c>
      <c r="T37" s="687"/>
      <c r="U37" s="143" cm="1">
        <f t="array" ref="U37">SUMPRODUCT(ISNUMBER(SEARCH('16 Water Heating Costs'!$E$42:$AE$42,'16 Water Heating Costs'!P23)) *'16 Water Heating Costs'!$E$53:$AE$53)</f>
        <v>660.03780812171567</v>
      </c>
      <c r="V37" s="143" cm="1">
        <f t="array" ref="V37">SUMPRODUCT(ISNUMBER(SEARCH('16 Water Heating Costs'!$E$42:$AE$42,'16 Water Heating Costs'!Q23)) *'16 Water Heating Costs'!$E$53:$AE$53)</f>
        <v>660.03780812171567</v>
      </c>
      <c r="W37" s="150" cm="1">
        <f t="array" ref="W37">SUMPRODUCT(ISNUMBER(SEARCH('16 Water Heating Costs'!$E$42:$AE$42,'16 Water Heating Costs'!R23)) *'16 Water Heating Costs'!$E$53:$AE$53)</f>
        <v>1134.0708274752885</v>
      </c>
      <c r="X37"/>
      <c r="Y37" s="5"/>
      <c r="Z37" s="5"/>
      <c r="AA37" s="5"/>
      <c r="AB37" s="5"/>
      <c r="AC37" s="5"/>
      <c r="AD37" s="5"/>
      <c r="AE37" s="5"/>
      <c r="AF37" s="1119"/>
      <c r="AG37" s="152" t="s">
        <v>244</v>
      </c>
      <c r="AH37" s="143" cm="1">
        <f t="array" ref="AH37">SUMPRODUCT(ISNUMBER(SEARCH('16 Water Heating Costs'!$E$42:$AE$42,'16 Water Heating Costs'!V23)) *'16 Water Heating Costs'!$E$53:$AE$53)</f>
        <v>1134.0708274752885</v>
      </c>
      <c r="AI37" s="687"/>
      <c r="AJ37" s="143" cm="1">
        <f t="array" ref="AJ37">SUMPRODUCT(ISNUMBER(SEARCH('16 Water Heating Costs'!$E$42:$AE$42,'16 Water Heating Costs'!X23)) *'16 Water Heating Costs'!$E$53:$AE$53)</f>
        <v>660.03780812171567</v>
      </c>
      <c r="AK37" s="143" cm="1">
        <f t="array" ref="AK37">SUMPRODUCT(ISNUMBER(SEARCH('16 Water Heating Costs'!$E$42:$AE$42,'16 Water Heating Costs'!Y23)) *'16 Water Heating Costs'!$E$53:$AE$53)</f>
        <v>660.03780812171567</v>
      </c>
      <c r="AL37" s="150" cm="1">
        <f t="array" ref="AL37">SUMPRODUCT(ISNUMBER(SEARCH('16 Water Heating Costs'!$E$42:$AE$42,'16 Water Heating Costs'!Z23)) *'16 Water Heating Costs'!$E$53:$AE$53)</f>
        <v>1134.0708274752885</v>
      </c>
    </row>
    <row r="38" spans="1:38" s="61" customFormat="1" ht="199.9" customHeight="1" x14ac:dyDescent="0.25">
      <c r="A38" s="60"/>
      <c r="B38" s="1105"/>
      <c r="C38" s="152" t="s">
        <v>86</v>
      </c>
      <c r="D38" s="143" cm="1">
        <f t="array" ref="D38">SUMPRODUCT(ISNUMBER(SEARCH('16 Water Heating Costs'!$E$42:$AE$42,'16 Water Heating Costs'!F24)) *'16 Water Heating Costs'!$E$53:$AE$53)</f>
        <v>1715.8114502082185</v>
      </c>
      <c r="E38" s="143" cm="1">
        <f t="array" ref="E38">SUMPRODUCT(ISNUMBER(SEARCH('16 Water Heating Costs'!$E$42:$AE$42,'16 Water Heating Costs'!G24)) *'16 Water Heating Costs'!$E$53:$AE$53)</f>
        <v>1241.7784308546456</v>
      </c>
      <c r="F38" s="687"/>
      <c r="G38" s="143" cm="1">
        <f t="array" ref="G38">SUMPRODUCT(ISNUMBER(SEARCH('16 Water Heating Costs'!$E$42:$AE$42,'16 Water Heating Costs'!I24)) *'16 Water Heating Costs'!$E$53:$AE$53)</f>
        <v>1241.7784308546456</v>
      </c>
      <c r="H38" s="150" cm="1">
        <f t="array" ref="H38">SUMPRODUCT(ISNUMBER(SEARCH('16 Water Heating Costs'!$E$42:$AE$42,'16 Water Heating Costs'!J24)) *'16 Water Heating Costs'!$E$53:$AE$53)</f>
        <v>1715.8114502082185</v>
      </c>
      <c r="I38"/>
      <c r="J38" s="5"/>
      <c r="K38" s="5"/>
      <c r="L38" s="5"/>
      <c r="M38" s="5"/>
      <c r="N38" s="5"/>
      <c r="O38" s="5"/>
      <c r="P38" s="5"/>
      <c r="Q38" s="1105"/>
      <c r="R38" s="152" t="s">
        <v>86</v>
      </c>
      <c r="S38" s="143" cm="1">
        <f t="array" ref="S38">SUMPRODUCT(ISNUMBER(SEARCH('16 Water Heating Costs'!$E$42:$AE$42,'16 Water Heating Costs'!N24)) *'16 Water Heating Costs'!$E$53:$AE$53)</f>
        <v>1851.2104698393982</v>
      </c>
      <c r="T38" s="143" cm="1">
        <f t="array" ref="T38">SUMPRODUCT(ISNUMBER(SEARCH('16 Water Heating Costs'!$E$42:$AE$42,'16 Water Heating Costs'!O24)) *'16 Water Heating Costs'!$E$53:$AE$53)</f>
        <v>1377.1774504858254</v>
      </c>
      <c r="U38" s="687"/>
      <c r="V38" s="143" cm="1">
        <f t="array" ref="V38">SUMPRODUCT(ISNUMBER(SEARCH('16 Water Heating Costs'!$E$42:$AE$42,'16 Water Heating Costs'!Q24)) *'16 Water Heating Costs'!$E$53:$AE$53)</f>
        <v>1377.1774504858254</v>
      </c>
      <c r="W38" s="150" cm="1">
        <f t="array" ref="W38">SUMPRODUCT(ISNUMBER(SEARCH('16 Water Heating Costs'!$E$42:$AE$42,'16 Water Heating Costs'!R24)) *'16 Water Heating Costs'!$E$53:$AE$53)</f>
        <v>1851.2104698393982</v>
      </c>
      <c r="X38"/>
      <c r="Y38" s="5"/>
      <c r="Z38" s="5"/>
      <c r="AA38" s="5"/>
      <c r="AB38" s="5"/>
      <c r="AC38" s="5"/>
      <c r="AD38" s="5"/>
      <c r="AE38" s="5"/>
      <c r="AF38" s="1119"/>
      <c r="AG38" s="152" t="s">
        <v>86</v>
      </c>
      <c r="AH38" s="143" cm="1">
        <f t="array" ref="AH38">SUMPRODUCT(ISNUMBER(SEARCH('16 Water Heating Costs'!$E$42:$AE$42,'16 Water Heating Costs'!V24)) *'16 Water Heating Costs'!$E$53:$AE$53)</f>
        <v>1612.1639223846951</v>
      </c>
      <c r="AI38" s="143" cm="1">
        <f t="array" ref="AI38">SUMPRODUCT(ISNUMBER(SEARCH('16 Water Heating Costs'!$E$42:$AE$42,'16 Water Heating Costs'!W24)) *'16 Water Heating Costs'!$E$53:$AE$53)</f>
        <v>1138.1309030311222</v>
      </c>
      <c r="AJ38" s="687"/>
      <c r="AK38" s="143" cm="1">
        <f t="array" ref="AK38">SUMPRODUCT(ISNUMBER(SEARCH('16 Water Heating Costs'!$E$42:$AE$42,'16 Water Heating Costs'!Y24)) *'16 Water Heating Costs'!$E$53:$AE$53)</f>
        <v>1138.1309030311222</v>
      </c>
      <c r="AL38" s="150" cm="1">
        <f t="array" ref="AL38">SUMPRODUCT(ISNUMBER(SEARCH('16 Water Heating Costs'!$E$42:$AE$42,'16 Water Heating Costs'!Z24)) *'16 Water Heating Costs'!$E$53:$AE$53)</f>
        <v>1612.1639223846951</v>
      </c>
    </row>
    <row r="39" spans="1:38" ht="199.9" customHeight="1" x14ac:dyDescent="0.25">
      <c r="B39" s="1105"/>
      <c r="C39" s="152" t="s">
        <v>242</v>
      </c>
      <c r="D39" s="143" cm="1">
        <f t="array" ref="D39">SUMPRODUCT(ISNUMBER(SEARCH('16 Water Heating Costs'!$E$42:$AE$42,'16 Water Heating Costs'!F25)) *'16 Water Heating Costs'!$E$53:$AE$53)</f>
        <v>1715.8114502082185</v>
      </c>
      <c r="E39" s="143" cm="1">
        <f t="array" ref="E39">SUMPRODUCT(ISNUMBER(SEARCH('16 Water Heating Costs'!$E$42:$AE$42,'16 Water Heating Costs'!G25)) *'16 Water Heating Costs'!$E$53:$AE$53)</f>
        <v>1241.7784308546456</v>
      </c>
      <c r="F39" s="143" cm="1">
        <f t="array" ref="F39">SUMPRODUCT(ISNUMBER(SEARCH('16 Water Heating Costs'!$E$42:$AE$42,'16 Water Heating Costs'!H25)) *'16 Water Heating Costs'!$E$53:$AE$53)</f>
        <v>1241.7784308546456</v>
      </c>
      <c r="G39" s="687"/>
      <c r="H39" s="150" cm="1">
        <f t="array" ref="H39">SUMPRODUCT(ISNUMBER(SEARCH('16 Water Heating Costs'!$E$42:$AE$42,'16 Water Heating Costs'!J25)) *'16 Water Heating Costs'!$E$53:$AE$53)</f>
        <v>1715.8114502082185</v>
      </c>
      <c r="I39"/>
      <c r="P39" s="5"/>
      <c r="Q39" s="1105"/>
      <c r="R39" s="152" t="s">
        <v>242</v>
      </c>
      <c r="S39" s="143" cm="1">
        <f t="array" ref="S39">SUMPRODUCT(ISNUMBER(SEARCH('16 Water Heating Costs'!$E$42:$AE$42,'16 Water Heating Costs'!N25)) *'16 Water Heating Costs'!$E$53:$AE$53)</f>
        <v>1851.2104698393982</v>
      </c>
      <c r="T39" s="143" cm="1">
        <f t="array" ref="T39">SUMPRODUCT(ISNUMBER(SEARCH('16 Water Heating Costs'!$E$42:$AE$42,'16 Water Heating Costs'!O25)) *'16 Water Heating Costs'!$E$53:$AE$53)</f>
        <v>1377.1774504858254</v>
      </c>
      <c r="U39" s="143" cm="1">
        <f t="array" ref="U39">SUMPRODUCT(ISNUMBER(SEARCH('16 Water Heating Costs'!$E$42:$AE$42,'16 Water Heating Costs'!P25)) *'16 Water Heating Costs'!$E$53:$AE$53)</f>
        <v>1377.1774504858254</v>
      </c>
      <c r="V39" s="687"/>
      <c r="W39" s="150" cm="1">
        <f t="array" ref="W39">SUMPRODUCT(ISNUMBER(SEARCH('16 Water Heating Costs'!$E$42:$AE$42,'16 Water Heating Costs'!R25)) *'16 Water Heating Costs'!$E$53:$AE$53)</f>
        <v>1851.2104698393982</v>
      </c>
      <c r="X39"/>
      <c r="Y39" s="5"/>
      <c r="Z39" s="5"/>
      <c r="AA39" s="5"/>
      <c r="AB39" s="5"/>
      <c r="AC39" s="5"/>
      <c r="AD39" s="5"/>
      <c r="AE39" s="5"/>
      <c r="AF39" s="1119"/>
      <c r="AG39" s="152" t="s">
        <v>242</v>
      </c>
      <c r="AH39" s="143" cm="1">
        <f t="array" ref="AH39">SUMPRODUCT(ISNUMBER(SEARCH('16 Water Heating Costs'!$E$42:$AE$42,'16 Water Heating Costs'!V25)) *'16 Water Heating Costs'!$E$53:$AE$53)</f>
        <v>1612.1639223846951</v>
      </c>
      <c r="AI39" s="143" cm="1">
        <f t="array" ref="AI39">SUMPRODUCT(ISNUMBER(SEARCH('16 Water Heating Costs'!$E$42:$AE$42,'16 Water Heating Costs'!W25)) *'16 Water Heating Costs'!$E$53:$AE$53)</f>
        <v>1138.1309030311222</v>
      </c>
      <c r="AJ39" s="143" cm="1">
        <f t="array" ref="AJ39">SUMPRODUCT(ISNUMBER(SEARCH('16 Water Heating Costs'!$E$42:$AE$42,'16 Water Heating Costs'!X25)) *'16 Water Heating Costs'!$E$53:$AE$53)</f>
        <v>1138.1309030311222</v>
      </c>
      <c r="AK39" s="687"/>
      <c r="AL39" s="150" cm="1">
        <f t="array" ref="AL39">SUMPRODUCT(ISNUMBER(SEARCH('16 Water Heating Costs'!$E$42:$AE$42,'16 Water Heating Costs'!Z25)) *'16 Water Heating Costs'!$E$53:$AE$53)</f>
        <v>1612.1639223846951</v>
      </c>
    </row>
    <row r="40" spans="1:38" ht="199.9" customHeight="1" thickBot="1" x14ac:dyDescent="0.3">
      <c r="A40" s="60"/>
      <c r="B40" s="1106"/>
      <c r="C40" s="153" t="s">
        <v>172</v>
      </c>
      <c r="D40" s="354" cm="1">
        <f t="array" ref="D40">SUMPRODUCT(ISNUMBER(SEARCH('16 Water Heating Costs'!$E$42:$AE$42,'16 Water Heating Costs'!F26)) *'16 Water Heating Costs'!$E$53:$AE$53)</f>
        <v>80</v>
      </c>
      <c r="E40" s="354" cm="1">
        <f t="array" ref="E40">SUMPRODUCT(ISNUMBER(SEARCH('16 Water Heating Costs'!$E$42:$AE$42,'16 Water Heating Costs'!G26)) *'16 Water Heating Costs'!$E$53:$AE$53)</f>
        <v>1043.2778218295273</v>
      </c>
      <c r="F40" s="354" cm="1">
        <f t="array" ref="F40">SUMPRODUCT(ISNUMBER(SEARCH('16 Water Heating Costs'!$E$42:$AE$42,'16 Water Heating Costs'!H26)) *'16 Water Heating Costs'!$E$53:$AE$53)</f>
        <v>1043.2778218295271</v>
      </c>
      <c r="G40" s="354" cm="1">
        <f t="array" ref="G40">SUMPRODUCT(ISNUMBER(SEARCH('16 Water Heating Costs'!$E$42:$AE$42,'16 Water Heating Costs'!I26)) *'16 Water Heating Costs'!$E$53:$AE$53)</f>
        <v>1043.2778218295271</v>
      </c>
      <c r="H40" s="688"/>
      <c r="I40"/>
      <c r="P40" s="5"/>
      <c r="Q40" s="1106"/>
      <c r="R40" s="153" t="s">
        <v>172</v>
      </c>
      <c r="S40" s="354" cm="1">
        <f t="array" ref="S40">SUMPRODUCT(ISNUMBER(SEARCH('16 Water Heating Costs'!$E$42:$AE$42,'16 Water Heating Costs'!N26)) *'16 Water Heating Costs'!$E$53:$AE$53)</f>
        <v>80</v>
      </c>
      <c r="T40" s="354" cm="1">
        <f t="array" ref="T40">SUMPRODUCT(ISNUMBER(SEARCH('16 Water Heating Costs'!$E$42:$AE$42,'16 Water Heating Costs'!O26)) *'16 Water Heating Costs'!$E$53:$AE$53)</f>
        <v>1043.2778218295273</v>
      </c>
      <c r="U40" s="354" cm="1">
        <f t="array" ref="U40">SUMPRODUCT(ISNUMBER(SEARCH('16 Water Heating Costs'!$E$42:$AE$42,'16 Water Heating Costs'!P26)) *'16 Water Heating Costs'!$E$53:$AE$53)</f>
        <v>1043.2778218295271</v>
      </c>
      <c r="V40" s="354" cm="1">
        <f t="array" ref="V40">SUMPRODUCT(ISNUMBER(SEARCH('16 Water Heating Costs'!$E$42:$AE$42,'16 Water Heating Costs'!Q26)) *'16 Water Heating Costs'!$E$53:$AE$53)</f>
        <v>1043.2778218295271</v>
      </c>
      <c r="W40" s="688"/>
      <c r="X40"/>
      <c r="Y40" s="5"/>
      <c r="Z40" s="5"/>
      <c r="AA40" s="5"/>
      <c r="AB40" s="5"/>
      <c r="AC40" s="5"/>
      <c r="AD40" s="5"/>
      <c r="AE40" s="5"/>
      <c r="AF40" s="1120"/>
      <c r="AG40" s="153" t="s">
        <v>172</v>
      </c>
      <c r="AH40" s="354" cm="1">
        <f t="array" ref="AH40">SUMPRODUCT(ISNUMBER(SEARCH('16 Water Heating Costs'!$E$42:$AE$42,'16 Water Heating Costs'!V26)) *'16 Water Heating Costs'!$E$53:$AE$53)</f>
        <v>80</v>
      </c>
      <c r="AI40" s="354" cm="1">
        <f t="array" ref="AI40">SUMPRODUCT(ISNUMBER(SEARCH('16 Water Heating Costs'!$E$42:$AE$42,'16 Water Heating Costs'!W26)) *'16 Water Heating Costs'!$E$53:$AE$53)</f>
        <v>1043.2778218295273</v>
      </c>
      <c r="AJ40" s="354" cm="1">
        <f t="array" ref="AJ40">SUMPRODUCT(ISNUMBER(SEARCH('16 Water Heating Costs'!$E$42:$AE$42,'16 Water Heating Costs'!X26)) *'16 Water Heating Costs'!$E$53:$AE$53)</f>
        <v>1043.2778218295271</v>
      </c>
      <c r="AK40" s="354" cm="1">
        <f t="array" ref="AK40">SUMPRODUCT(ISNUMBER(SEARCH('16 Water Heating Costs'!$E$42:$AE$42,'16 Water Heating Costs'!Y26)) *'16 Water Heating Costs'!$E$53:$AE$53)</f>
        <v>1043.2778218295271</v>
      </c>
      <c r="AL40" s="688"/>
    </row>
    <row r="41" spans="1:38" ht="79.900000000000006" customHeight="1" thickBot="1" x14ac:dyDescent="0.3">
      <c r="A41" s="60"/>
      <c r="B41"/>
      <c r="C41"/>
      <c r="D41"/>
      <c r="E41"/>
      <c r="F41"/>
      <c r="G41"/>
      <c r="H41"/>
      <c r="I41"/>
      <c r="P41" s="5"/>
      <c r="Q41"/>
      <c r="R41"/>
      <c r="S41"/>
      <c r="T41"/>
      <c r="U41"/>
      <c r="V41"/>
      <c r="W41"/>
      <c r="X41"/>
      <c r="Y41" s="5"/>
      <c r="Z41" s="5"/>
      <c r="AA41" s="5"/>
      <c r="AB41" s="5"/>
      <c r="AC41" s="5"/>
      <c r="AD41" s="5"/>
      <c r="AE41" s="5"/>
      <c r="AF41"/>
      <c r="AG41"/>
      <c r="AH41"/>
      <c r="AI41"/>
      <c r="AJ41"/>
      <c r="AK41"/>
      <c r="AL41"/>
    </row>
    <row r="42" spans="1:38" ht="204.75" customHeight="1" x14ac:dyDescent="0.25">
      <c r="A42" s="60"/>
      <c r="B42" s="1107" t="s">
        <v>1629</v>
      </c>
      <c r="C42" s="1108"/>
      <c r="D42" s="1108"/>
      <c r="E42" s="1108"/>
      <c r="F42" s="1108"/>
      <c r="G42" s="1108"/>
      <c r="H42" s="1109"/>
      <c r="I42"/>
      <c r="P42" s="5"/>
      <c r="Q42" s="1107" t="s">
        <v>1630</v>
      </c>
      <c r="R42" s="1108"/>
      <c r="S42" s="1108"/>
      <c r="T42" s="1108"/>
      <c r="U42" s="1108"/>
      <c r="V42" s="1108"/>
      <c r="W42" s="1109"/>
      <c r="X42"/>
      <c r="Y42" s="5"/>
      <c r="Z42" s="5"/>
      <c r="AA42" s="5"/>
      <c r="AB42" s="5"/>
      <c r="AC42" s="5"/>
      <c r="AD42" s="5"/>
      <c r="AE42" s="5"/>
      <c r="AF42" s="1107" t="s">
        <v>1631</v>
      </c>
      <c r="AG42" s="1108"/>
      <c r="AH42" s="1108"/>
      <c r="AI42" s="1108"/>
      <c r="AJ42" s="1108"/>
      <c r="AK42" s="1108"/>
      <c r="AL42" s="1109"/>
    </row>
    <row r="43" spans="1:38" ht="79.900000000000006" customHeight="1" x14ac:dyDescent="0.25">
      <c r="A43" s="60"/>
      <c r="B43" s="1110" t="s">
        <v>977</v>
      </c>
      <c r="C43" s="1111"/>
      <c r="D43" s="1116" t="s">
        <v>990</v>
      </c>
      <c r="E43" s="1117"/>
      <c r="F43" s="1117"/>
      <c r="G43" s="1117"/>
      <c r="H43" s="1118"/>
      <c r="I43"/>
      <c r="P43" s="5"/>
      <c r="Q43" s="1110" t="s">
        <v>977</v>
      </c>
      <c r="R43" s="1111"/>
      <c r="S43" s="1116" t="s">
        <v>990</v>
      </c>
      <c r="T43" s="1117"/>
      <c r="U43" s="1117"/>
      <c r="V43" s="1117"/>
      <c r="W43" s="1118"/>
      <c r="X43"/>
      <c r="Y43" s="5"/>
      <c r="Z43" s="5"/>
      <c r="AA43" s="5"/>
      <c r="AB43" s="5"/>
      <c r="AC43" s="5"/>
      <c r="AD43" s="5"/>
      <c r="AE43" s="5"/>
      <c r="AF43" s="1110" t="s">
        <v>977</v>
      </c>
      <c r="AG43" s="1111"/>
      <c r="AH43" s="1116" t="s">
        <v>990</v>
      </c>
      <c r="AI43" s="1117"/>
      <c r="AJ43" s="1117"/>
      <c r="AK43" s="1117"/>
      <c r="AL43" s="1118"/>
    </row>
    <row r="44" spans="1:38" ht="79.900000000000006" customHeight="1" x14ac:dyDescent="0.25">
      <c r="A44" s="60"/>
      <c r="B44" s="1112"/>
      <c r="C44" s="1113"/>
      <c r="D44" s="1121" t="s">
        <v>246</v>
      </c>
      <c r="E44" s="1121" t="s">
        <v>244</v>
      </c>
      <c r="F44" s="1121" t="s">
        <v>86</v>
      </c>
      <c r="G44" s="1121" t="s">
        <v>242</v>
      </c>
      <c r="H44" s="1123" t="s">
        <v>172</v>
      </c>
      <c r="I44"/>
      <c r="P44" s="5"/>
      <c r="Q44" s="1112"/>
      <c r="R44" s="1113"/>
      <c r="S44" s="1121" t="s">
        <v>246</v>
      </c>
      <c r="T44" s="1121" t="s">
        <v>244</v>
      </c>
      <c r="U44" s="1121" t="s">
        <v>86</v>
      </c>
      <c r="V44" s="1121" t="s">
        <v>242</v>
      </c>
      <c r="W44" s="1123" t="s">
        <v>172</v>
      </c>
      <c r="X44"/>
      <c r="Y44" s="5"/>
      <c r="Z44" s="5"/>
      <c r="AA44" s="5"/>
      <c r="AB44" s="5"/>
      <c r="AC44" s="5"/>
      <c r="AD44" s="5"/>
      <c r="AE44" s="5"/>
      <c r="AF44" s="1112"/>
      <c r="AG44" s="1113"/>
      <c r="AH44" s="668" t="s">
        <v>246</v>
      </c>
      <c r="AI44" s="668" t="s">
        <v>244</v>
      </c>
      <c r="AJ44" s="668" t="s">
        <v>86</v>
      </c>
      <c r="AK44" s="668" t="s">
        <v>242</v>
      </c>
      <c r="AL44" s="677" t="s">
        <v>172</v>
      </c>
    </row>
    <row r="45" spans="1:38" ht="79.900000000000006" customHeight="1" x14ac:dyDescent="0.25">
      <c r="A45" s="60"/>
      <c r="B45" s="1114"/>
      <c r="C45" s="1115"/>
      <c r="D45" s="1122"/>
      <c r="E45" s="1122"/>
      <c r="F45" s="1122"/>
      <c r="G45" s="1122"/>
      <c r="H45" s="1124"/>
      <c r="I45"/>
      <c r="P45" s="5"/>
      <c r="Q45" s="1114"/>
      <c r="R45" s="1115"/>
      <c r="S45" s="1122"/>
      <c r="T45" s="1122"/>
      <c r="U45" s="1122"/>
      <c r="V45" s="1122"/>
      <c r="W45" s="1124"/>
      <c r="X45"/>
      <c r="Y45" s="5"/>
      <c r="Z45" s="5"/>
      <c r="AA45" s="5"/>
      <c r="AB45" s="5"/>
      <c r="AC45" s="5"/>
      <c r="AD45" s="5"/>
      <c r="AE45" s="5"/>
      <c r="AF45" s="1114"/>
      <c r="AG45" s="1115"/>
      <c r="AH45" s="179"/>
      <c r="AI45" s="179"/>
      <c r="AJ45" s="179"/>
      <c r="AK45" s="179"/>
      <c r="AL45" s="180"/>
    </row>
    <row r="46" spans="1:38" ht="199.9" customHeight="1" x14ac:dyDescent="0.25">
      <c r="B46" s="1104" t="s">
        <v>952</v>
      </c>
      <c r="C46" s="149" t="s">
        <v>246</v>
      </c>
      <c r="D46" s="687"/>
      <c r="E46" s="143" cm="1">
        <f t="array" ref="E46">SUMPRODUCT(ISNUMBER(SEARCH('16 Water Heating Costs'!$E$42:$AE$42,'16 Water Heating Costs'!G33)) *'16 Water Heating Costs'!$E$53:$AE$53)</f>
        <v>1043.2778218295273</v>
      </c>
      <c r="F46" s="143" cm="1">
        <f t="array" ref="F46">SUMPRODUCT(ISNUMBER(SEARCH('16 Water Heating Costs'!$E$42:$AE$42,'16 Water Heating Costs'!H33)) *'16 Water Heating Costs'!$E$53:$AE$53)</f>
        <v>1043.2778218295271</v>
      </c>
      <c r="G46" s="143" cm="1">
        <f t="array" ref="G46">SUMPRODUCT(ISNUMBER(SEARCH('16 Water Heating Costs'!$E$42:$AE$42,'16 Water Heating Costs'!I33)) *'16 Water Heating Costs'!$E$53:$AE$53)</f>
        <v>1043.2778218295271</v>
      </c>
      <c r="H46" s="150" cm="1">
        <f t="array" ref="H46">SUMPRODUCT(ISNUMBER(SEARCH('16 Water Heating Costs'!$E$42:$AE$42,'16 Water Heating Costs'!J33)) *'16 Water Heating Costs'!$E$53:$AE$53)</f>
        <v>828.15393520014243</v>
      </c>
      <c r="I46"/>
      <c r="P46" s="5"/>
      <c r="Q46" s="1104" t="s">
        <v>952</v>
      </c>
      <c r="R46" s="149" t="s">
        <v>246</v>
      </c>
      <c r="S46" s="687"/>
      <c r="T46" s="143" cm="1">
        <f t="array" ref="T46">SUMPRODUCT(ISNUMBER(SEARCH('16 Water Heating Costs'!$E$42:$AE$42,'16 Water Heating Costs'!O33)) *'16 Water Heating Costs'!$E$53:$AE$53)</f>
        <v>1043.2778218295273</v>
      </c>
      <c r="U46" s="143" cm="1">
        <f t="array" ref="U46">SUMPRODUCT(ISNUMBER(SEARCH('16 Water Heating Costs'!$E$42:$AE$42,'16 Water Heating Costs'!P33)) *'16 Water Heating Costs'!$E$53:$AE$53)</f>
        <v>1043.2778218295271</v>
      </c>
      <c r="V46" s="143" cm="1">
        <f t="array" ref="V46">SUMPRODUCT(ISNUMBER(SEARCH('16 Water Heating Costs'!$E$42:$AE$42,'16 Water Heating Costs'!Q33)) *'16 Water Heating Costs'!$E$53:$AE$53)</f>
        <v>1043.2778218295271</v>
      </c>
      <c r="W46" s="150" cm="1">
        <f t="array" ref="W46">SUMPRODUCT(ISNUMBER(SEARCH('16 Water Heating Costs'!$E$42:$AE$42,'16 Water Heating Costs'!R33)) *'16 Water Heating Costs'!$E$53:$AE$53)</f>
        <v>828.15393520014243</v>
      </c>
      <c r="X46"/>
      <c r="Y46" s="5"/>
      <c r="Z46" s="5"/>
      <c r="AA46" s="5"/>
      <c r="AB46" s="5"/>
      <c r="AC46" s="5"/>
      <c r="AD46" s="5"/>
      <c r="AE46" s="5"/>
      <c r="AF46" s="1104" t="s">
        <v>952</v>
      </c>
      <c r="AG46" s="149" t="s">
        <v>246</v>
      </c>
      <c r="AH46" s="687"/>
      <c r="AI46" s="143" cm="1">
        <f t="array" ref="AI46">SUMPRODUCT(ISNUMBER(SEARCH('16 Water Heating Costs'!$E$42:$AE$42,'16 Water Heating Costs'!W33)) *'16 Water Heating Costs'!$E$53:$AE$53)</f>
        <v>1043.2778218295273</v>
      </c>
      <c r="AJ46" s="143" cm="1">
        <f t="array" ref="AJ46">SUMPRODUCT(ISNUMBER(SEARCH('16 Water Heating Costs'!$E$42:$AE$42,'16 Water Heating Costs'!X33)) *'16 Water Heating Costs'!$E$53:$AE$53)</f>
        <v>1043.2778218295271</v>
      </c>
      <c r="AK46" s="143" cm="1">
        <f t="array" ref="AK46">SUMPRODUCT(ISNUMBER(SEARCH('16 Water Heating Costs'!$E$42:$AE$42,'16 Water Heating Costs'!Y33)) *'16 Water Heating Costs'!$E$53:$AE$53)</f>
        <v>1043.2778218295271</v>
      </c>
      <c r="AL46" s="150" cm="1">
        <f t="array" ref="AL46">SUMPRODUCT(ISNUMBER(SEARCH('16 Water Heating Costs'!$E$42:$AE$42,'16 Water Heating Costs'!Z33)) *'16 Water Heating Costs'!$E$53:$AE$53)</f>
        <v>828.15393520014243</v>
      </c>
    </row>
    <row r="47" spans="1:38" ht="199.9" customHeight="1" x14ac:dyDescent="0.25">
      <c r="B47" s="1105"/>
      <c r="C47" s="152" t="s">
        <v>244</v>
      </c>
      <c r="D47" s="687"/>
      <c r="E47" s="687"/>
      <c r="F47" s="687"/>
      <c r="G47" s="687"/>
      <c r="H47" s="689"/>
      <c r="I47"/>
      <c r="P47" s="5"/>
      <c r="Q47" s="1105"/>
      <c r="R47" s="152" t="s">
        <v>244</v>
      </c>
      <c r="S47" s="687"/>
      <c r="T47" s="687"/>
      <c r="U47" s="687"/>
      <c r="V47" s="687"/>
      <c r="W47" s="689"/>
      <c r="X47"/>
      <c r="Y47" s="5"/>
      <c r="Z47" s="5"/>
      <c r="AA47" s="5"/>
      <c r="AB47" s="5"/>
      <c r="AC47" s="5"/>
      <c r="AD47" s="5"/>
      <c r="AE47" s="5"/>
      <c r="AF47" s="1119"/>
      <c r="AG47" s="152" t="s">
        <v>244</v>
      </c>
      <c r="AH47" s="687"/>
      <c r="AI47" s="687"/>
      <c r="AJ47" s="687"/>
      <c r="AK47" s="687"/>
      <c r="AL47" s="689"/>
    </row>
    <row r="48" spans="1:38" ht="199.9" customHeight="1" x14ac:dyDescent="0.25">
      <c r="B48" s="1105"/>
      <c r="C48" s="152" t="s">
        <v>86</v>
      </c>
      <c r="D48" s="143" cm="1">
        <f t="array" ref="D48">SUMPRODUCT(ISNUMBER(SEARCH('16 Water Heating Costs'!$E$42:$AE$42,'16 Water Heating Costs'!F35)) *'16 Water Heating Costs'!$E$53:$AE$53)</f>
        <v>3521.5236246173617</v>
      </c>
      <c r="E48" s="143" cm="1">
        <f t="array" ref="E48">SUMPRODUCT(ISNUMBER(SEARCH('16 Water Heating Costs'!$E$42:$AE$42,'16 Water Heating Costs'!G35)) *'16 Water Heating Costs'!$E$53:$AE$53)</f>
        <v>2053.9004241304146</v>
      </c>
      <c r="F48" s="687"/>
      <c r="G48" s="143" cm="1">
        <f t="array" ref="G48">SUMPRODUCT(ISNUMBER(SEARCH('16 Water Heating Costs'!$E$42:$AE$42,'16 Water Heating Costs'!I35)) *'16 Water Heating Costs'!$E$53:$AE$53)</f>
        <v>3047.4906052637889</v>
      </c>
      <c r="H48" s="150" cm="1">
        <f t="array" ref="H48">SUMPRODUCT(ISNUMBER(SEARCH('16 Water Heating Costs'!$E$42:$AE$42,'16 Water Heating Costs'!J35)) *'16 Water Heating Costs'!$E$53:$AE$53)</f>
        <v>3521.5236246173617</v>
      </c>
      <c r="I48"/>
      <c r="P48" s="5"/>
      <c r="Q48" s="1105"/>
      <c r="R48" s="152" t="s">
        <v>86</v>
      </c>
      <c r="S48" s="143" cm="1">
        <f t="array" ref="S48">SUMPRODUCT(ISNUMBER(SEARCH('16 Water Heating Costs'!$E$42:$AE$42,'16 Water Heating Costs'!N35)) *'16 Water Heating Costs'!$E$53:$AE$53)</f>
        <v>4125.4032521724239</v>
      </c>
      <c r="T48" s="143" cm="1">
        <f t="array" ref="T48">SUMPRODUCT(ISNUMBER(SEARCH('16 Water Heating Costs'!$E$42:$AE$42,'16 Water Heating Costs'!O35)) *'16 Water Heating Costs'!$E$53:$AE$53)</f>
        <v>2657.7800516854763</v>
      </c>
      <c r="U48" s="687"/>
      <c r="V48" s="143" cm="1">
        <f t="array" ref="V48">SUMPRODUCT(ISNUMBER(SEARCH('16 Water Heating Costs'!$E$42:$AE$42,'16 Water Heating Costs'!Q35)) *'16 Water Heating Costs'!$E$53:$AE$53)</f>
        <v>3651.370232818851</v>
      </c>
      <c r="W48" s="150" cm="1">
        <f t="array" ref="W48">SUMPRODUCT(ISNUMBER(SEARCH('16 Water Heating Costs'!$E$42:$AE$42,'16 Water Heating Costs'!R35)) *'16 Water Heating Costs'!$E$53:$AE$53)</f>
        <v>4125.4032521724239</v>
      </c>
      <c r="X48"/>
      <c r="Y48" s="5"/>
      <c r="Z48" s="5"/>
      <c r="AA48" s="5"/>
      <c r="AB48" s="5"/>
      <c r="AC48" s="5"/>
      <c r="AD48" s="5"/>
      <c r="AE48" s="5"/>
      <c r="AF48" s="1119"/>
      <c r="AG48" s="152" t="s">
        <v>86</v>
      </c>
      <c r="AH48" s="143" cm="1">
        <f t="array" ref="AH48">SUMPRODUCT(ISNUMBER(SEARCH('16 Water Heating Costs'!$E$42:$AE$42,'16 Water Heating Costs'!V35)) *'16 Water Heating Costs'!$E$53:$AE$53)</f>
        <v>3059.2556505244474</v>
      </c>
      <c r="AI48" s="143" cm="1">
        <f t="array" ref="AI48">SUMPRODUCT(ISNUMBER(SEARCH('16 Water Heating Costs'!$E$42:$AE$42,'16 Water Heating Costs'!W35)) *'16 Water Heating Costs'!$E$53:$AE$53)</f>
        <v>2657.7800516854763</v>
      </c>
      <c r="AJ48" s="687"/>
      <c r="AK48" s="143" cm="1">
        <f t="array" ref="AK48">SUMPRODUCT(ISNUMBER(SEARCH('16 Water Heating Costs'!$E$42:$AE$42,'16 Water Heating Costs'!Y35)) *'16 Water Heating Costs'!$E$53:$AE$53)</f>
        <v>2585.2226311708746</v>
      </c>
      <c r="AL48" s="150" cm="1">
        <f t="array" ref="AL48">SUMPRODUCT(ISNUMBER(SEARCH('16 Water Heating Costs'!$E$42:$AE$42,'16 Water Heating Costs'!Z35)) *'16 Water Heating Costs'!$E$53:$AE$53)</f>
        <v>3059.2556505244474</v>
      </c>
    </row>
    <row r="49" spans="2:38" ht="199.9" customHeight="1" x14ac:dyDescent="0.25">
      <c r="B49" s="1105"/>
      <c r="C49" s="152" t="s">
        <v>242</v>
      </c>
      <c r="D49" s="143" cm="1">
        <f t="array" ref="D49">SUMPRODUCT(ISNUMBER(SEARCH('16 Water Heating Costs'!$E$42:$AE$42,'16 Water Heating Costs'!F36)) *'16 Water Heating Costs'!$E$53:$AE$53)</f>
        <v>3521.5236246173617</v>
      </c>
      <c r="E49" s="143" cm="1">
        <f t="array" ref="E49">SUMPRODUCT(ISNUMBER(SEARCH('16 Water Heating Costs'!$E$42:$AE$42,'16 Water Heating Costs'!G36)) *'16 Water Heating Costs'!$E$53:$AE$53)</f>
        <v>3047.4906052637889</v>
      </c>
      <c r="F49" s="143" cm="1">
        <f t="array" ref="F49">SUMPRODUCT(ISNUMBER(SEARCH('16 Water Heating Costs'!$E$42:$AE$42,'16 Water Heating Costs'!H36)) *'16 Water Heating Costs'!$E$53:$AE$53)</f>
        <v>3047.4906052637889</v>
      </c>
      <c r="G49" s="687"/>
      <c r="H49" s="150" cm="1">
        <f t="array" ref="H49">SUMPRODUCT(ISNUMBER(SEARCH('16 Water Heating Costs'!$E$42:$AE$42,'16 Water Heating Costs'!J36)) *'16 Water Heating Costs'!$E$53:$AE$53)</f>
        <v>3521.5236246173617</v>
      </c>
      <c r="I49"/>
      <c r="P49" s="5"/>
      <c r="Q49" s="1105"/>
      <c r="R49" s="152" t="s">
        <v>242</v>
      </c>
      <c r="S49" s="143" cm="1">
        <f t="array" ref="S49">SUMPRODUCT(ISNUMBER(SEARCH('16 Water Heating Costs'!$E$42:$AE$42,'16 Water Heating Costs'!N36)) *'16 Water Heating Costs'!$E$53:$AE$53)</f>
        <v>4125.4032521724239</v>
      </c>
      <c r="T49" s="143" cm="1">
        <f t="array" ref="T49">SUMPRODUCT(ISNUMBER(SEARCH('16 Water Heating Costs'!$E$42:$AE$42,'16 Water Heating Costs'!O36)) *'16 Water Heating Costs'!$E$53:$AE$53)</f>
        <v>3651.370232818851</v>
      </c>
      <c r="U49" s="143" cm="1">
        <f t="array" ref="U49">SUMPRODUCT(ISNUMBER(SEARCH('16 Water Heating Costs'!$E$42:$AE$42,'16 Water Heating Costs'!P36)) *'16 Water Heating Costs'!$E$53:$AE$53)</f>
        <v>3651.370232818851</v>
      </c>
      <c r="V49" s="687"/>
      <c r="W49" s="150" cm="1">
        <f t="array" ref="W49">SUMPRODUCT(ISNUMBER(SEARCH('16 Water Heating Costs'!$E$42:$AE$42,'16 Water Heating Costs'!R36)) *'16 Water Heating Costs'!$E$53:$AE$53)</f>
        <v>4125.4032521724239</v>
      </c>
      <c r="X49"/>
      <c r="Y49" s="5"/>
      <c r="Z49" s="5"/>
      <c r="AA49" s="5"/>
      <c r="AB49" s="5"/>
      <c r="AC49" s="5"/>
      <c r="AD49" s="5"/>
      <c r="AE49" s="5"/>
      <c r="AF49" s="1119"/>
      <c r="AG49" s="152" t="s">
        <v>242</v>
      </c>
      <c r="AH49" s="143" cm="1">
        <f t="array" ref="AH49">SUMPRODUCT(ISNUMBER(SEARCH('16 Water Heating Costs'!$E$42:$AE$42,'16 Water Heating Costs'!V36)) *'16 Water Heating Costs'!$E$53:$AE$53)</f>
        <v>3059.2556505244474</v>
      </c>
      <c r="AI49" s="143" cm="1">
        <f t="array" ref="AI49">SUMPRODUCT(ISNUMBER(SEARCH('16 Water Heating Costs'!$E$42:$AE$42,'16 Water Heating Costs'!W36)) *'16 Water Heating Costs'!$E$53:$AE$53)</f>
        <v>2585.2226311708746</v>
      </c>
      <c r="AJ49" s="143" cm="1">
        <f t="array" ref="AJ49">SUMPRODUCT(ISNUMBER(SEARCH('16 Water Heating Costs'!$E$42:$AE$42,'16 Water Heating Costs'!X36)) *'16 Water Heating Costs'!$E$53:$AE$53)</f>
        <v>2585.2226311708746</v>
      </c>
      <c r="AK49" s="687"/>
      <c r="AL49" s="150" cm="1">
        <f t="array" ref="AL49">SUMPRODUCT(ISNUMBER(SEARCH('16 Water Heating Costs'!$E$42:$AE$42,'16 Water Heating Costs'!Z36)) *'16 Water Heating Costs'!$E$53:$AE$53)</f>
        <v>3059.2556505244474</v>
      </c>
    </row>
    <row r="50" spans="2:38" ht="199.9" customHeight="1" thickBot="1" x14ac:dyDescent="0.3">
      <c r="B50" s="1106"/>
      <c r="C50" s="153" t="s">
        <v>172</v>
      </c>
      <c r="D50" s="690"/>
      <c r="E50" s="690"/>
      <c r="F50" s="690"/>
      <c r="G50" s="690"/>
      <c r="H50" s="688"/>
      <c r="I50"/>
      <c r="P50" s="5"/>
      <c r="Q50" s="1106"/>
      <c r="R50" s="153" t="s">
        <v>172</v>
      </c>
      <c r="S50" s="690"/>
      <c r="T50" s="690"/>
      <c r="U50" s="690"/>
      <c r="V50" s="690"/>
      <c r="W50" s="688"/>
      <c r="X50"/>
      <c r="Y50" s="5"/>
      <c r="Z50" s="5"/>
      <c r="AA50" s="5"/>
      <c r="AB50" s="5"/>
      <c r="AC50" s="5"/>
      <c r="AD50" s="5"/>
      <c r="AE50" s="5"/>
      <c r="AF50" s="1120"/>
      <c r="AG50" s="153" t="s">
        <v>172</v>
      </c>
      <c r="AH50" s="690"/>
      <c r="AI50" s="690"/>
      <c r="AJ50" s="690"/>
      <c r="AK50" s="690"/>
      <c r="AL50" s="688"/>
    </row>
    <row r="51" spans="2:38" ht="79.900000000000006" customHeight="1" thickBot="1" x14ac:dyDescent="0.3">
      <c r="B51" s="673"/>
      <c r="C51" s="673"/>
      <c r="D51" s="673"/>
      <c r="E51" s="673"/>
      <c r="F51" s="673"/>
      <c r="G51" s="673"/>
      <c r="H51" s="673"/>
      <c r="I51" s="673"/>
      <c r="J51" s="673"/>
      <c r="K51" s="673"/>
      <c r="L51" s="673"/>
      <c r="M51" s="673"/>
      <c r="N51" s="679"/>
      <c r="P51" s="5"/>
      <c r="Q51" s="673"/>
      <c r="R51" s="673"/>
      <c r="S51" s="673"/>
      <c r="T51" s="673"/>
      <c r="U51" s="673"/>
      <c r="V51" s="673"/>
      <c r="W51" s="673"/>
      <c r="X51" s="673"/>
      <c r="Y51" s="673"/>
      <c r="Z51" s="673"/>
      <c r="AA51" s="673"/>
      <c r="AB51" s="673"/>
      <c r="AC51" s="5"/>
      <c r="AD51" s="5"/>
      <c r="AE51" s="5"/>
      <c r="AF51" s="673"/>
      <c r="AG51" s="673"/>
      <c r="AH51" s="673"/>
      <c r="AI51" s="673"/>
      <c r="AJ51" s="673"/>
      <c r="AK51" s="673"/>
      <c r="AL51" s="673"/>
    </row>
    <row r="52" spans="2:38" ht="175.15" customHeight="1" thickBot="1" x14ac:dyDescent="0.3">
      <c r="B52" s="1135" t="s">
        <v>1074</v>
      </c>
      <c r="C52" s="1136"/>
      <c r="D52" s="1136"/>
      <c r="E52" s="1136"/>
      <c r="F52" s="1136"/>
      <c r="G52" s="1137"/>
      <c r="H52" s="364"/>
      <c r="I52" s="131"/>
      <c r="J52" s="146"/>
      <c r="K52" s="146"/>
      <c r="L52" s="146"/>
      <c r="M52" s="146"/>
      <c r="N52" s="156"/>
      <c r="O52" s="72"/>
    </row>
    <row r="53" spans="2:38" ht="79.900000000000006" customHeight="1" thickBot="1" x14ac:dyDescent="0.3">
      <c r="B53" s="1140" t="s">
        <v>226</v>
      </c>
      <c r="C53" s="1141"/>
      <c r="D53" s="1138" t="s">
        <v>282</v>
      </c>
      <c r="E53" s="1138"/>
      <c r="F53" s="1138"/>
      <c r="G53" s="1139"/>
      <c r="H53" s="183"/>
      <c r="I53" s="146"/>
      <c r="J53" s="146"/>
      <c r="K53" s="146"/>
      <c r="L53" s="146"/>
      <c r="M53" s="156"/>
      <c r="N53" s="72"/>
      <c r="O53" s="57"/>
    </row>
    <row r="54" spans="2:38" ht="199.9" customHeight="1" thickBot="1" x14ac:dyDescent="0.3">
      <c r="B54" s="1140"/>
      <c r="C54" s="1141"/>
      <c r="D54" s="147" t="s">
        <v>246</v>
      </c>
      <c r="E54" s="147" t="s">
        <v>594</v>
      </c>
      <c r="F54" s="147" t="s">
        <v>86</v>
      </c>
      <c r="G54" s="148" t="s">
        <v>242</v>
      </c>
      <c r="H54" s="131"/>
      <c r="I54" s="146"/>
      <c r="J54" s="146"/>
      <c r="K54" s="146"/>
      <c r="L54" s="146"/>
      <c r="M54" s="146"/>
      <c r="N54" s="72"/>
      <c r="O54" s="57"/>
    </row>
    <row r="55" spans="2:38" ht="199.9" customHeight="1" thickBot="1" x14ac:dyDescent="0.3">
      <c r="B55" s="1132" t="s">
        <v>227</v>
      </c>
      <c r="C55" s="147" t="s">
        <v>246</v>
      </c>
      <c r="D55" s="142"/>
      <c r="E55" s="143" cm="1">
        <f t="array" ref="E55">SUMPRODUCT(ISNUMBER(SEARCH('18 Clothes Drying Costs'!$D$16:$N$16,'18 Clothes Drying Costs'!G10)) *'18 Clothes Drying Costs'!$D$27:$N$27)</f>
        <v>719.19239952936425</v>
      </c>
      <c r="F55" s="143" cm="1">
        <f t="array" ref="F55">SUMPRODUCT(ISNUMBER(SEARCH('18 Clothes Drying Costs'!$D$16:$M$16,'18 Clothes Drying Costs'!H10)) *'18 Clothes Drying Costs'!$D$27:$M$27)</f>
        <v>980.99018760785407</v>
      </c>
      <c r="G55" s="150" cm="1">
        <f t="array" ref="G55">SUMPRODUCT(ISNUMBER(SEARCH('18 Clothes Drying Costs'!$D$16:$M$16,'18 Clothes Drying Costs'!I10)) *'18 Clothes Drying Costs'!$D$27:$M$27)</f>
        <v>980.99018760785407</v>
      </c>
      <c r="H55" s="131"/>
      <c r="I55" s="146"/>
      <c r="J55" s="146"/>
      <c r="K55" s="146"/>
      <c r="L55" s="146"/>
      <c r="M55" s="146"/>
      <c r="N55" s="72"/>
      <c r="O55" s="57"/>
    </row>
    <row r="56" spans="2:38" ht="199.9" customHeight="1" thickBot="1" x14ac:dyDescent="0.3">
      <c r="B56" s="1132"/>
      <c r="C56" s="147" t="s">
        <v>594</v>
      </c>
      <c r="D56" s="143" cm="1">
        <f t="array" ref="D56">SUMPRODUCT(ISNUMBER(SEARCH('18 Clothes Drying Costs'!$D$16:$M$16,'18 Clothes Drying Costs'!F11)) *'18 Clothes Drying Costs'!$D$27:$M$27)</f>
        <v>100</v>
      </c>
      <c r="E56" s="142"/>
      <c r="F56" s="143" cm="1">
        <f t="array" ref="F56">SUMPRODUCT(ISNUMBER(SEARCH('18 Clothes Drying Costs'!$D$16:$M$16,'18 Clothes Drying Costs'!H11)) *'18 Clothes Drying Costs'!$D$27:$M$27)</f>
        <v>1080.9901876078541</v>
      </c>
      <c r="G56" s="150" cm="1">
        <f t="array" ref="G56">SUMPRODUCT(ISNUMBER(SEARCH('18 Clothes Drying Costs'!$D$16:$M$16,'18 Clothes Drying Costs'!I11)) *'18 Clothes Drying Costs'!$D$27:$M$27)</f>
        <v>1130.9901876078541</v>
      </c>
      <c r="H56" s="131"/>
      <c r="I56" s="146"/>
      <c r="J56" s="146"/>
      <c r="K56" s="146"/>
      <c r="L56" s="146"/>
      <c r="M56" s="146"/>
      <c r="N56" s="72"/>
      <c r="O56" s="57"/>
    </row>
    <row r="57" spans="2:38" ht="199.9" customHeight="1" thickBot="1" x14ac:dyDescent="0.3">
      <c r="B57" s="1132"/>
      <c r="C57" s="147" t="s">
        <v>86</v>
      </c>
      <c r="D57" s="143" cm="1">
        <f t="array" ref="D57">SUMPRODUCT(ISNUMBER(SEARCH('18 Clothes Drying Costs'!$D$16:$M$16,'18 Clothes Drying Costs'!F12)) *'18 Clothes Drying Costs'!$D$27:$M$27)</f>
        <v>1024.4721170121702</v>
      </c>
      <c r="E57" s="143" cm="1">
        <f t="array" ref="E57">SUMPRODUCT(ISNUMBER(SEARCH('18 Clothes Drying Costs'!$D$16:$N$16,'18 Clothes Drying Costs'!G12)) *'18 Clothes Drying Costs'!$D$27:$N$27)</f>
        <v>1693.6645165415343</v>
      </c>
      <c r="F57" s="142"/>
      <c r="G57" s="150" cm="1">
        <f t="array" ref="G57">SUMPRODUCT(ISNUMBER(SEARCH('18 Clothes Drying Costs'!$D$16:$M$16,'18 Clothes Drying Costs'!I12)) *'18 Clothes Drying Costs'!$D$27:$M$27)</f>
        <v>1328.3566536073361</v>
      </c>
      <c r="H57" s="131"/>
      <c r="I57" s="146"/>
      <c r="J57" s="146"/>
      <c r="K57" s="146"/>
      <c r="L57" s="146"/>
      <c r="M57" s="146"/>
      <c r="N57" s="58"/>
      <c r="O57" s="57"/>
    </row>
    <row r="58" spans="2:38" ht="199.9" customHeight="1" thickBot="1" x14ac:dyDescent="0.3">
      <c r="B58" s="1133"/>
      <c r="C58" s="137" t="s">
        <v>242</v>
      </c>
      <c r="D58" s="354" cm="1">
        <f t="array" ref="D58">SUMPRODUCT(ISNUMBER(SEARCH('18 Clothes Drying Costs'!$D$16:$M$16,'18 Clothes Drying Costs'!F13)) *'18 Clothes Drying Costs'!$D$27:$M$27)</f>
        <v>1024.4721170121702</v>
      </c>
      <c r="E58" s="354" cm="1">
        <f t="array" ref="E58">SUMPRODUCT(ISNUMBER(SEARCH('18 Clothes Drying Costs'!$D$16:$N$16,'18 Clothes Drying Costs'!G13)) *'18 Clothes Drying Costs'!$D$27:$N$27)</f>
        <v>1743.6645165415343</v>
      </c>
      <c r="F58" s="354" cm="1">
        <f t="array" ref="F58">SUMPRODUCT(ISNUMBER(SEARCH('18 Clothes Drying Costs'!$D$16:$M$16,'18 Clothes Drying Costs'!H13)) *'18 Clothes Drying Costs'!$D$27:$M$27)</f>
        <v>1218.5713173390245</v>
      </c>
      <c r="G58" s="426"/>
      <c r="H58" s="58"/>
      <c r="I58" s="59"/>
      <c r="J58" s="59"/>
      <c r="K58" s="59"/>
      <c r="L58" s="59"/>
      <c r="M58" s="59"/>
      <c r="N58" s="57"/>
      <c r="O58" s="61"/>
      <c r="P58" s="61"/>
      <c r="Q58" s="61"/>
      <c r="R58" s="61"/>
      <c r="S58" s="61"/>
      <c r="T58" s="61"/>
      <c r="U58" s="61"/>
      <c r="V58" s="61"/>
      <c r="W58" s="61"/>
      <c r="X58" s="61"/>
      <c r="Y58" s="61"/>
      <c r="Z58" s="61"/>
      <c r="AA58" s="61"/>
      <c r="AB58" s="61"/>
      <c r="AC58" s="61"/>
      <c r="AD58" s="61"/>
      <c r="AE58" s="61"/>
      <c r="AF58" s="61"/>
      <c r="AG58" s="61"/>
      <c r="AH58" s="61"/>
      <c r="AI58" s="61"/>
      <c r="AJ58" s="61"/>
      <c r="AK58" s="61"/>
      <c r="AL58" s="61"/>
    </row>
    <row r="59" spans="2:38" ht="79.900000000000006" customHeight="1" thickBot="1" x14ac:dyDescent="0.3">
      <c r="B59" s="133"/>
      <c r="C59" s="157"/>
      <c r="D59" s="157"/>
      <c r="E59" s="157"/>
      <c r="F59" s="157"/>
      <c r="G59" s="157"/>
      <c r="H59" s="59"/>
      <c r="I59" s="57"/>
      <c r="J59" s="57"/>
      <c r="K59" s="57"/>
      <c r="L59" s="57"/>
      <c r="M59" s="57"/>
      <c r="N59" s="57"/>
      <c r="O59" s="57"/>
    </row>
    <row r="60" spans="2:38" ht="175.15" customHeight="1" x14ac:dyDescent="0.25">
      <c r="B60" s="1107" t="s">
        <v>546</v>
      </c>
      <c r="C60" s="1108"/>
      <c r="D60" s="1108"/>
      <c r="E60" s="1108"/>
      <c r="F60" s="1109"/>
      <c r="G60" s="365"/>
      <c r="H60" s="72"/>
      <c r="I60" s="57"/>
      <c r="J60" s="57"/>
      <c r="K60" s="57"/>
      <c r="L60" s="57"/>
      <c r="M60" s="57"/>
      <c r="N60" s="57"/>
      <c r="O60" s="57"/>
    </row>
    <row r="61" spans="2:38" ht="79.900000000000006" customHeight="1" x14ac:dyDescent="0.25">
      <c r="B61" s="1140" t="s">
        <v>287</v>
      </c>
      <c r="C61" s="1141"/>
      <c r="D61" s="1138" t="s">
        <v>282</v>
      </c>
      <c r="E61" s="1138"/>
      <c r="F61" s="1139"/>
      <c r="G61" s="151"/>
      <c r="H61" s="57"/>
      <c r="I61" s="57"/>
      <c r="J61" s="57"/>
      <c r="K61" s="57"/>
      <c r="L61" s="57"/>
      <c r="M61" s="57"/>
      <c r="N61" s="57"/>
      <c r="O61" s="57"/>
    </row>
    <row r="62" spans="2:38" ht="199.9" customHeight="1" x14ac:dyDescent="0.25">
      <c r="B62" s="1140"/>
      <c r="C62" s="1141"/>
      <c r="D62" s="147" t="s">
        <v>246</v>
      </c>
      <c r="E62" s="147" t="s">
        <v>242</v>
      </c>
      <c r="F62" s="148" t="s">
        <v>86</v>
      </c>
      <c r="G62" s="72"/>
      <c r="H62" s="57"/>
      <c r="I62" s="57"/>
      <c r="J62" s="57"/>
      <c r="K62" s="57"/>
      <c r="L62" s="57"/>
      <c r="M62" s="57"/>
      <c r="N62" s="57"/>
      <c r="O62" s="57"/>
    </row>
    <row r="63" spans="2:38" ht="199.9" customHeight="1" x14ac:dyDescent="0.25">
      <c r="B63" s="1132" t="s">
        <v>227</v>
      </c>
      <c r="C63" s="147" t="s">
        <v>246</v>
      </c>
      <c r="D63" s="142"/>
      <c r="E63" s="143" cm="1">
        <f t="array" ref="E63">SUMPRODUCT(ISNUMBER(SEARCH('17 Cooking Costs'!$E$18:$J$18, '17 Cooking Costs'!H12)) *'17 Cooking Costs'!$E$29:$J$29)</f>
        <v>872.86274286982098</v>
      </c>
      <c r="F63" s="150" cm="1">
        <f t="array" ref="F63">SUMPRODUCT(ISNUMBER(SEARCH('17 Cooking Costs'!$E$18:$J$18, '17 Cooking Costs'!I12)) *'17 Cooking Costs'!$E$29:$J$29)</f>
        <v>872.86274286982098</v>
      </c>
      <c r="G63" s="72"/>
      <c r="H63" s="57"/>
      <c r="I63" s="57"/>
      <c r="J63" s="57"/>
      <c r="K63" s="57"/>
      <c r="L63" s="57"/>
      <c r="M63" s="57"/>
      <c r="N63" s="57"/>
      <c r="O63" s="57"/>
    </row>
    <row r="64" spans="2:38" ht="199.9" customHeight="1" x14ac:dyDescent="0.25">
      <c r="B64" s="1132"/>
      <c r="C64" s="147" t="s">
        <v>242</v>
      </c>
      <c r="D64" s="143" cm="1">
        <f t="array" ref="D64">SUMPRODUCT(ISNUMBER(SEARCH('17 Cooking Costs'!$E$18:$J$18, '17 Cooking Costs'!G13)) *'17 Cooking Costs'!$E$29:$J$29)</f>
        <v>1024.4721170121702</v>
      </c>
      <c r="E64" s="142"/>
      <c r="F64" s="150" cm="1">
        <f t="array" ref="F64">SUMPRODUCT(ISNUMBER(SEARCH('17 Cooking Costs'!$E$18:$J$18, '17 Cooking Costs'!I13)) *'17 Cooking Costs'!$E$29:$J$29)</f>
        <v>1192.6761297031933</v>
      </c>
      <c r="G64" s="72"/>
      <c r="H64" s="57"/>
      <c r="I64" s="57"/>
      <c r="J64" s="57"/>
      <c r="K64" s="57"/>
      <c r="L64" s="57"/>
      <c r="M64" s="57"/>
      <c r="N64" s="57"/>
      <c r="O64" s="57"/>
    </row>
    <row r="65" spans="2:15" ht="199.9" customHeight="1" thickBot="1" x14ac:dyDescent="0.3">
      <c r="B65" s="1133"/>
      <c r="C65" s="137" t="s">
        <v>86</v>
      </c>
      <c r="D65" s="354" cm="1">
        <f t="array" ref="D65">SUMPRODUCT(ISNUMBER(SEARCH('17 Cooking Costs'!$E$18:$J$18, '17 Cooking Costs'!G14)) *'17 Cooking Costs'!$E$29:$J$29)</f>
        <v>1024.4721170121702</v>
      </c>
      <c r="E65" s="354" cm="1">
        <f t="array" ref="E65">SUMPRODUCT(ISNUMBER(SEARCH('17 Cooking Costs'!$E$18:$J$18, '17 Cooking Costs'!H14)) *'17 Cooking Costs'!$E$29:$J$29)</f>
        <v>1192.6761297031933</v>
      </c>
      <c r="F65" s="426"/>
      <c r="G65" s="72"/>
      <c r="H65" s="57"/>
      <c r="I65" s="57"/>
      <c r="J65" s="57"/>
      <c r="K65" s="57"/>
      <c r="L65" s="57"/>
      <c r="M65" s="57"/>
      <c r="N65" s="57"/>
      <c r="O65" s="57"/>
    </row>
    <row r="66" spans="2:15" x14ac:dyDescent="0.25">
      <c r="B66" s="151"/>
      <c r="C66" s="59"/>
      <c r="D66" s="59"/>
      <c r="E66" s="59"/>
      <c r="F66" s="59"/>
      <c r="G66" s="59"/>
      <c r="H66" s="57"/>
      <c r="I66" s="57"/>
      <c r="J66" s="57"/>
      <c r="K66" s="57"/>
      <c r="L66" s="57"/>
      <c r="M66" s="57"/>
      <c r="N66" s="57"/>
      <c r="O66" s="57"/>
    </row>
    <row r="67" spans="2:15" x14ac:dyDescent="0.25">
      <c r="C67" s="57"/>
      <c r="D67" s="57"/>
      <c r="E67" s="57"/>
      <c r="F67" s="57"/>
      <c r="G67" s="57"/>
      <c r="H67" s="57"/>
      <c r="I67" s="57"/>
      <c r="J67" s="57"/>
      <c r="K67" s="57"/>
      <c r="L67" s="57"/>
      <c r="M67" s="57"/>
      <c r="N67" s="57"/>
      <c r="O67" s="57"/>
    </row>
    <row r="68" spans="2:15" x14ac:dyDescent="0.25">
      <c r="C68" s="57"/>
      <c r="D68" s="57"/>
      <c r="E68" s="57"/>
      <c r="F68" s="57"/>
      <c r="G68" s="57"/>
      <c r="H68" s="57"/>
      <c r="I68" s="57"/>
      <c r="J68" s="57"/>
      <c r="K68" s="57"/>
      <c r="L68" s="57"/>
      <c r="M68" s="57"/>
      <c r="N68" s="57"/>
      <c r="O68" s="57"/>
    </row>
    <row r="69" spans="2:15" x14ac:dyDescent="0.25">
      <c r="C69" s="57"/>
      <c r="D69" s="57"/>
      <c r="E69" s="57"/>
      <c r="F69" s="57"/>
      <c r="G69" s="57"/>
      <c r="H69" s="57"/>
      <c r="I69" s="57"/>
      <c r="J69" s="57"/>
      <c r="K69" s="57"/>
      <c r="L69" s="57"/>
      <c r="M69" s="57"/>
      <c r="N69" s="57"/>
      <c r="O69" s="57"/>
    </row>
    <row r="70" spans="2:15" x14ac:dyDescent="0.25">
      <c r="C70" s="57"/>
      <c r="D70" s="57"/>
      <c r="E70" s="57"/>
      <c r="F70" s="57"/>
      <c r="G70" s="57"/>
      <c r="H70" s="57"/>
      <c r="I70" s="57"/>
      <c r="J70" s="57"/>
      <c r="K70" s="57"/>
      <c r="L70" s="57"/>
      <c r="M70" s="57"/>
      <c r="N70" s="57"/>
      <c r="O70" s="57"/>
    </row>
    <row r="71" spans="2:15" x14ac:dyDescent="0.25">
      <c r="C71" s="57"/>
      <c r="D71" s="57"/>
      <c r="E71" s="57"/>
      <c r="F71" s="57"/>
      <c r="G71" s="57"/>
      <c r="H71" s="57"/>
      <c r="I71" s="57"/>
      <c r="J71" s="57"/>
      <c r="K71" s="57"/>
      <c r="L71" s="57"/>
      <c r="M71" s="57"/>
      <c r="N71" s="57"/>
      <c r="O71" s="57"/>
    </row>
    <row r="72" spans="2:15" x14ac:dyDescent="0.25">
      <c r="C72" s="57"/>
      <c r="D72" s="57"/>
      <c r="E72" s="57"/>
      <c r="F72" s="57"/>
      <c r="G72" s="57"/>
      <c r="H72" s="57"/>
      <c r="I72" s="57"/>
      <c r="J72" s="57"/>
      <c r="K72" s="57"/>
      <c r="L72" s="57"/>
      <c r="M72" s="57"/>
      <c r="N72" s="57"/>
      <c r="O72" s="57"/>
    </row>
    <row r="73" spans="2:15" x14ac:dyDescent="0.25">
      <c r="C73" s="57"/>
      <c r="D73" s="57"/>
      <c r="E73" s="57"/>
      <c r="F73" s="57"/>
      <c r="G73" s="57"/>
      <c r="H73" s="57"/>
      <c r="I73" s="57"/>
      <c r="J73" s="57"/>
      <c r="K73" s="57"/>
      <c r="L73" s="57"/>
      <c r="M73" s="57"/>
      <c r="N73" s="57"/>
      <c r="O73" s="57"/>
    </row>
  </sheetData>
  <mergeCells count="88">
    <mergeCell ref="B63:B65"/>
    <mergeCell ref="B52:G52"/>
    <mergeCell ref="B53:C54"/>
    <mergeCell ref="D53:G53"/>
    <mergeCell ref="B55:B58"/>
    <mergeCell ref="B60:F60"/>
    <mergeCell ref="B61:C62"/>
    <mergeCell ref="D61:F61"/>
    <mergeCell ref="AH7:AS7"/>
    <mergeCell ref="B9:B20"/>
    <mergeCell ref="Q9:Q20"/>
    <mergeCell ref="AF9:AF20"/>
    <mergeCell ref="B7:C8"/>
    <mergeCell ref="D7:O7"/>
    <mergeCell ref="Q7:R8"/>
    <mergeCell ref="S7:AD7"/>
    <mergeCell ref="AF7:AG8"/>
    <mergeCell ref="L1:L3"/>
    <mergeCell ref="C5:O5"/>
    <mergeCell ref="B6:O6"/>
    <mergeCell ref="Q6:AD6"/>
    <mergeCell ref="AF6:AS6"/>
    <mergeCell ref="B22:H22"/>
    <mergeCell ref="Q22:W22"/>
    <mergeCell ref="AF22:AL22"/>
    <mergeCell ref="D23:H23"/>
    <mergeCell ref="S23:W23"/>
    <mergeCell ref="AH23:AL23"/>
    <mergeCell ref="B23:C25"/>
    <mergeCell ref="Q23:R25"/>
    <mergeCell ref="AF23:AG25"/>
    <mergeCell ref="T24:T25"/>
    <mergeCell ref="U24:U25"/>
    <mergeCell ref="V24:V25"/>
    <mergeCell ref="W24:W25"/>
    <mergeCell ref="B32:H32"/>
    <mergeCell ref="Q32:W32"/>
    <mergeCell ref="AF32:AL32"/>
    <mergeCell ref="D24:D25"/>
    <mergeCell ref="E24:E25"/>
    <mergeCell ref="F24:F25"/>
    <mergeCell ref="G24:G25"/>
    <mergeCell ref="H24:H25"/>
    <mergeCell ref="S24:S25"/>
    <mergeCell ref="B26:B30"/>
    <mergeCell ref="Q26:Q30"/>
    <mergeCell ref="AF26:AF30"/>
    <mergeCell ref="B33:C35"/>
    <mergeCell ref="D33:H33"/>
    <mergeCell ref="Q33:R35"/>
    <mergeCell ref="S33:W33"/>
    <mergeCell ref="AF33:AG35"/>
    <mergeCell ref="AH33:AL33"/>
    <mergeCell ref="D34:D35"/>
    <mergeCell ref="E34:E35"/>
    <mergeCell ref="F34:F35"/>
    <mergeCell ref="G34:G35"/>
    <mergeCell ref="H34:H35"/>
    <mergeCell ref="S34:S35"/>
    <mergeCell ref="T34:T35"/>
    <mergeCell ref="U34:U35"/>
    <mergeCell ref="V34:V35"/>
    <mergeCell ref="W34:W35"/>
    <mergeCell ref="Q43:R45"/>
    <mergeCell ref="S43:W43"/>
    <mergeCell ref="AF43:AG45"/>
    <mergeCell ref="B36:B40"/>
    <mergeCell ref="Q36:Q40"/>
    <mergeCell ref="AF36:AF40"/>
    <mergeCell ref="B42:H42"/>
    <mergeCell ref="Q42:W42"/>
    <mergeCell ref="AF42:AL42"/>
    <mergeCell ref="B46:B50"/>
    <mergeCell ref="Q46:Q50"/>
    <mergeCell ref="AF46:AF50"/>
    <mergeCell ref="AH43:AL43"/>
    <mergeCell ref="D44:D45"/>
    <mergeCell ref="E44:E45"/>
    <mergeCell ref="F44:F45"/>
    <mergeCell ref="G44:G45"/>
    <mergeCell ref="H44:H45"/>
    <mergeCell ref="S44:S45"/>
    <mergeCell ref="T44:T45"/>
    <mergeCell ref="U44:U45"/>
    <mergeCell ref="V44:V45"/>
    <mergeCell ref="W44:W45"/>
    <mergeCell ref="B43:C45"/>
    <mergeCell ref="D43:H43"/>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0B18A-E60F-4B3D-BE31-2007C0C53E0F}">
  <sheetPr>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26.1"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1182</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Costs'!$C$19:$AW$19)</f>
        <v>4805.180822287286</v>
      </c>
      <c r="G10" s="140" cm="1">
        <f t="array" ref="G10">SUMPRODUCT(ISNUMBER( SEARCH('13 Space Heating Costs'!$C$7:$AW$7,'12 Space Heating Subcomponents'!I12)) *'13 Space Heating Costs'!$C$19:$AW$19)</f>
        <v>6190.4811883986067</v>
      </c>
      <c r="H10" s="140" cm="1">
        <f t="array" ref="H10">SUMPRODUCT(ISNUMBER( SEARCH('13 Space Heating Costs'!$C$7:$AW$7,'12 Space Heating Subcomponents'!J12)) *'13 Space Heating Costs'!$C$19:$AW$19)</f>
        <v>8394.4674630751433</v>
      </c>
      <c r="I10" s="140" cm="1">
        <f t="array" ref="I10">SUMPRODUCT(ISNUMBER( SEARCH('13 Space Heating Costs'!$C$7:$AW$7,'12 Space Heating Subcomponents'!K12)) *'13 Space Heating Costs'!$C$19:$AW$19)</f>
        <v>3866.2558934900799</v>
      </c>
      <c r="J10" s="140" cm="1">
        <f t="array" ref="J10">SUMPRODUCT(ISNUMBER( SEARCH('13 Space Heating Costs'!$C$7:$AW$7,'12 Space Heating Subcomponents'!L12)) *'13 Space Heating Costs'!$C$19:$AW$19)</f>
        <v>7396.7695669532286</v>
      </c>
      <c r="K10" s="140" cm="1">
        <f t="array" ref="K10">SUMPRODUCT(ISNUMBER( SEARCH('13 Space Heating Costs'!$C$7:$AW$7,'12 Space Heating Subcomponents'!M12)) *'13 Space Heating Costs'!$C$19:$AW$19)</f>
        <v>4512.7585340618643</v>
      </c>
      <c r="L10" s="140" cm="1">
        <f t="array" ref="L10">SUMPRODUCT(ISNUMBER( SEARCH('13 Space Heating Costs'!$C$7:$AW$7,'12 Space Heating Subcomponents'!N12)) *'13 Space Heating Costs'!$C$19:$AW$19)</f>
        <v>8168.1647630900161</v>
      </c>
      <c r="M10" s="140" cm="1">
        <f t="array" ref="M10">SUMPRODUCT(ISNUMBER( SEARCH('13 Space Heating Costs'!$C$7:$AW$7,'12 Space Heating Subcomponents'!O12)) *'13 Space Heating Costs'!$C$19:$AW$19)</f>
        <v>4512.7585340618643</v>
      </c>
      <c r="N10" s="140" cm="1">
        <f t="array" ref="N10">SUMPRODUCT(ISNUMBER( SEARCH('13 Space Heating Costs'!$C$7:$AW$7,'12 Space Heating Subcomponents'!P12)) *'13 Space Heating Costs'!$C$19:$AW$19)</f>
        <v>4393.7700510143331</v>
      </c>
      <c r="O10" s="402" cm="1">
        <f t="array" ref="O10">SUMPRODUCT(ISNUMBER( SEARCH('13 Space Heating Costs'!$C$7:$AW$7,'12 Space Heating Subcomponents'!Q12)) *'13 Space Heating Costs'!$C$19:$AW$19)</f>
        <v>10746.828704461564</v>
      </c>
      <c r="P10" s="72"/>
      <c r="Q10" s="1105"/>
      <c r="R10" s="181" t="s">
        <v>242</v>
      </c>
      <c r="S10" s="181" t="s">
        <v>243</v>
      </c>
      <c r="T10" s="139"/>
      <c r="U10" s="140" cm="1">
        <f t="array" ref="U10">SUMPRODUCT(ISNUMBER( SEARCH('13 Space Heating Costs'!$C$7:$AW$7,'12 Space Heating Subcomponents'!H28)) *'13 Space Heating Costs'!$C$19:$AW$19)</f>
        <v>5829.706304660871</v>
      </c>
      <c r="V10" s="140" cm="1">
        <f t="array" ref="V10">SUMPRODUCT(ISNUMBER( SEARCH('13 Space Heating Costs'!$C$7:$AW$7,'12 Space Heating Subcomponents'!I28)) *'13 Space Heating Costs'!$C$19:$AW$19)</f>
        <v>7215.0066707721926</v>
      </c>
      <c r="W10" s="140" cm="1">
        <f t="array" ref="W10">SUMPRODUCT(ISNUMBER( SEARCH('13 Space Heating Costs'!$C$7:$AW$7,'12 Space Heating Subcomponents'!J28)) *'13 Space Heating Costs'!$C$19:$AW$19)</f>
        <v>9418.9929454487283</v>
      </c>
      <c r="X10" s="140" cm="1">
        <f t="array" ref="X10">SUMPRODUCT(ISNUMBER( SEARCH('13 Space Heating Costs'!$C$7:$AW$7,'12 Space Heating Subcomponents'!K28)) *'13 Space Heating Costs'!$C$19:$AW$19)</f>
        <v>4890.7813758636657</v>
      </c>
      <c r="Y10" s="140" cm="1">
        <f t="array" ref="Y10">SUMPRODUCT(ISNUMBER( SEARCH('13 Space Heating Costs'!$C$7:$AW$7,'12 Space Heating Subcomponents'!L28)) *'13 Space Heating Costs'!$C$19:$AW$19)</f>
        <v>8421.2950493268145</v>
      </c>
      <c r="Z10" s="140" cm="1">
        <f t="array" ref="Z10">SUMPRODUCT(ISNUMBER( SEARCH('13 Space Heating Costs'!$C$7:$AW$7,'12 Space Heating Subcomponents'!M28)) *'13 Space Heating Costs'!$C$19:$AW$19)</f>
        <v>5537.2840164354493</v>
      </c>
      <c r="AA10" s="140" cm="1">
        <f t="array" ref="AA10">SUMPRODUCT(ISNUMBER( SEARCH('13 Space Heating Costs'!$C$7:$AW$7,'12 Space Heating Subcomponents'!N28)) *'13 Space Heating Costs'!$C$19:$AW$19)</f>
        <v>9192.690245463602</v>
      </c>
      <c r="AB10" s="140" cm="1">
        <f t="array" ref="AB10">SUMPRODUCT(ISNUMBER( SEARCH('13 Space Heating Costs'!$C$7:$AW$7,'12 Space Heating Subcomponents'!O28)) *'13 Space Heating Costs'!$C$19:$AW$19)</f>
        <v>5537.2840164354493</v>
      </c>
      <c r="AC10" s="140" cm="1">
        <f t="array" ref="AC10">SUMPRODUCT(ISNUMBER( SEARCH('13 Space Heating Costs'!$C$7:$AW$7,'12 Space Heating Subcomponents'!P28)) *'13 Space Heating Costs'!$C$19:$AW$19)</f>
        <v>5418.2955333879181</v>
      </c>
      <c r="AD10" s="402" cm="1">
        <f t="array" ref="AD10">SUMPRODUCT(ISNUMBER( SEARCH('13 Space Heating Costs'!$C$7:$AW$7,'12 Space Heating Subcomponents'!Q28)) *'13 Space Heating Costs'!$C$19:$AW$19)</f>
        <v>11771.354186835149</v>
      </c>
      <c r="AE10" s="72"/>
      <c r="AF10" s="1105"/>
      <c r="AG10" s="181" t="s">
        <v>242</v>
      </c>
      <c r="AH10" s="181" t="s">
        <v>243</v>
      </c>
      <c r="AI10" s="139"/>
      <c r="AJ10" s="140" cm="1">
        <f t="array" ref="AJ10">SUMPRODUCT(ISNUMBER( SEARCH('13 Space Heating Costs'!$C$7:$AW$7,'12 Space Heating Subcomponents'!H44)) *'13 Space Heating Costs'!$C$19:$AW$19)</f>
        <v>4311.7467535270353</v>
      </c>
      <c r="AK10" s="140" cm="1">
        <f t="array" ref="AK10">SUMPRODUCT(ISNUMBER( SEARCH('13 Space Heating Costs'!$C$7:$AW$7,'12 Space Heating Subcomponents'!I44)) *'13 Space Heating Costs'!$C$19:$AW$19)</f>
        <v>5697.047119638356</v>
      </c>
      <c r="AL10" s="140" cm="1">
        <f t="array" ref="AL10">SUMPRODUCT(ISNUMBER( SEARCH('13 Space Heating Costs'!$C$7:$AW$7,'12 Space Heating Subcomponents'!J44)) *'13 Space Heating Costs'!$C$19:$AW$19)</f>
        <v>7901.0333943148917</v>
      </c>
      <c r="AM10" s="140" cm="1">
        <f t="array" ref="AM10">SUMPRODUCT(ISNUMBER( SEARCH('13 Space Heating Costs'!$C$7:$AW$7,'12 Space Heating Subcomponents'!K44)) *'13 Space Heating Costs'!$C$19:$AW$19)</f>
        <v>3372.8218247298291</v>
      </c>
      <c r="AN10" s="140" cm="1">
        <f t="array" ref="AN10">SUMPRODUCT(ISNUMBER( SEARCH('13 Space Heating Costs'!$C$7:$AW$7,'12 Space Heating Subcomponents'!L44)) *'13 Space Heating Costs'!$C$19:$AW$19)</f>
        <v>6903.3354981929779</v>
      </c>
      <c r="AO10" s="140" cm="1">
        <f t="array" ref="AO10">SUMPRODUCT(ISNUMBER( SEARCH('13 Space Heating Costs'!$C$7:$AW$7,'12 Space Heating Subcomponents'!M44)) *'13 Space Heating Costs'!$C$19:$AW$19)</f>
        <v>4019.3244653016131</v>
      </c>
      <c r="AP10" s="140" cm="1">
        <f t="array" ref="AP10">SUMPRODUCT(ISNUMBER( SEARCH('13 Space Heating Costs'!$C$7:$AW$7,'12 Space Heating Subcomponents'!N44)) *'13 Space Heating Costs'!$C$19:$AW$19)</f>
        <v>7674.7306943297654</v>
      </c>
      <c r="AQ10" s="140" cm="1">
        <f t="array" ref="AQ10">SUMPRODUCT(ISNUMBER( SEARCH('13 Space Heating Costs'!$C$7:$AW$7,'12 Space Heating Subcomponents'!O44)) *'13 Space Heating Costs'!$C$19:$AW$19)</f>
        <v>4019.3244653016131</v>
      </c>
      <c r="AR10" s="140" cm="1">
        <f t="array" ref="AR10">SUMPRODUCT(ISNUMBER( SEARCH('13 Space Heating Costs'!$C$7:$AW$7,'12 Space Heating Subcomponents'!P44)) *'13 Space Heating Costs'!$C$19:$AW$19)</f>
        <v>3900.335982254082</v>
      </c>
      <c r="AS10" s="402" cm="1">
        <f t="array" ref="AS10">SUMPRODUCT(ISNUMBER( SEARCH('13 Space Heating Costs'!$C$7:$AW$7,'12 Space Heating Subcomponents'!Q44)) *'13 Space Heating Costs'!$C$19:$AW$19)</f>
        <v>10253.394635701312</v>
      </c>
      <c r="AT10" s="72"/>
    </row>
    <row r="11" spans="1:46" ht="200.1" customHeight="1" x14ac:dyDescent="0.25">
      <c r="A11" s="60"/>
      <c r="B11" s="1105"/>
      <c r="C11" s="182" t="s">
        <v>244</v>
      </c>
      <c r="D11" s="182" t="s">
        <v>243</v>
      </c>
      <c r="E11" s="139"/>
      <c r="F11" s="139"/>
      <c r="G11" s="139"/>
      <c r="H11" s="139"/>
      <c r="I11" s="139"/>
      <c r="J11" s="139"/>
      <c r="K11" s="139"/>
      <c r="L11" s="139"/>
      <c r="M11" s="139"/>
      <c r="N11" s="139"/>
      <c r="O11" s="141"/>
      <c r="P11" s="72"/>
      <c r="Q11" s="1105"/>
      <c r="R11" s="182" t="s">
        <v>244</v>
      </c>
      <c r="S11" s="182" t="s">
        <v>243</v>
      </c>
      <c r="T11" s="139"/>
      <c r="U11" s="139"/>
      <c r="V11" s="139"/>
      <c r="W11" s="139"/>
      <c r="X11" s="139"/>
      <c r="Y11" s="139"/>
      <c r="Z11" s="139"/>
      <c r="AA11" s="139"/>
      <c r="AB11" s="139"/>
      <c r="AC11" s="139"/>
      <c r="AD11" s="141"/>
      <c r="AE11" s="72"/>
      <c r="AF11" s="1105"/>
      <c r="AG11" s="182" t="s">
        <v>244</v>
      </c>
      <c r="AH11" s="182" t="s">
        <v>243</v>
      </c>
      <c r="AI11" s="139"/>
      <c r="AJ11" s="139"/>
      <c r="AK11" s="139"/>
      <c r="AL11" s="139"/>
      <c r="AM11" s="139"/>
      <c r="AN11" s="139"/>
      <c r="AO11" s="139"/>
      <c r="AP11" s="139"/>
      <c r="AQ11" s="139"/>
      <c r="AR11" s="139"/>
      <c r="AS11" s="141"/>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Costs'!$C$19:$AW$19)</f>
        <v>9372.357807657565</v>
      </c>
      <c r="F12" s="140" cm="1">
        <f t="array" ref="F12">SUMPRODUCT(ISNUMBER( SEARCH('13 Space Heating Costs'!$C$7:$AW$7,'12 Space Heating Subcomponents'!H14)) *'13 Space Heating Costs'!$C$19:$AW$19)</f>
        <v>11568.507686690806</v>
      </c>
      <c r="G12" s="139"/>
      <c r="H12" s="140" cm="1">
        <f t="array" ref="H12">SUMPRODUCT(ISNUMBER( SEARCH('13 Space Heating Costs'!$C$7:$AW$7,'12 Space Heating Subcomponents'!J14)) *'13 Space Heating Costs'!$C$19:$AW$19)</f>
        <v>4568.9592482980443</v>
      </c>
      <c r="I12" s="140" cm="1">
        <f t="array" ref="I12">SUMPRODUCT(ISNUMBER( SEARCH('13 Space Heating Costs'!$C$7:$AW$7,'12 Space Heating Subcomponents'!K14)) *'13 Space Heating Costs'!$C$19:$AW$19)</f>
        <v>9601.371337363862</v>
      </c>
      <c r="J12" s="140" cm="1">
        <f t="array" ref="J12">SUMPRODUCT(ISNUMBER( SEARCH('13 Space Heating Costs'!$C$7:$AW$7,'12 Space Heating Subcomponents'!L14)) *'13 Space Heating Costs'!$C$19:$AW$19)</f>
        <v>9542.5983700391553</v>
      </c>
      <c r="K12" s="140" cm="1">
        <f t="array" ref="K12">SUMPRODUCT(ISNUMBER( SEARCH('13 Space Heating Costs'!$C$7:$AW$7,'12 Space Heating Subcomponents'!M14)) *'13 Space Heating Costs'!$C$19:$AW$19)</f>
        <v>11276.085398465384</v>
      </c>
      <c r="L12" s="140" cm="1">
        <f t="array" ref="L12">SUMPRODUCT(ISNUMBER( SEARCH('13 Space Heating Costs'!$C$7:$AW$7,'12 Space Heating Subcomponents'!N14)) *'13 Space Heating Costs'!$C$19:$AW$19)</f>
        <v>10313.993566175943</v>
      </c>
      <c r="M12" s="140" cm="1">
        <f t="array" ref="M12">SUMPRODUCT(ISNUMBER( SEARCH('13 Space Heating Costs'!$C$7:$AW$7,'12 Space Heating Subcomponents'!O14)) *'13 Space Heating Costs'!$C$19:$AW$19)</f>
        <v>11276.085398465384</v>
      </c>
      <c r="N12" s="140" cm="1">
        <f t="array" ref="N12">SUMPRODUCT(ISNUMBER( SEARCH('13 Space Heating Costs'!$C$7:$AW$7,'12 Space Heating Subcomponents'!P14)) *'13 Space Heating Costs'!$C$19:$AW$19)</f>
        <v>11157.096915417853</v>
      </c>
      <c r="O12" s="402" cm="1">
        <f t="array" ref="O12">SUMPRODUCT(ISNUMBER( SEARCH('13 Space Heating Costs'!$C$7:$AW$7,'12 Space Heating Subcomponents'!Q14)) *'13 Space Heating Costs'!$C$19:$AW$19)</f>
        <v>16481.944148335348</v>
      </c>
      <c r="P12" s="72"/>
      <c r="Q12" s="1105"/>
      <c r="R12" s="181" t="s">
        <v>242</v>
      </c>
      <c r="S12" s="181" t="s">
        <v>245</v>
      </c>
      <c r="T12" s="140" cm="1">
        <f t="array" ref="T12">SUMPRODUCT(ISNUMBER( SEARCH('13 Space Heating Costs'!$C$7:$AW$7,'12 Space Heating Subcomponents'!G30)) *'13 Space Heating Costs'!$C$19:$AW$19)</f>
        <v>9858.1048640203935</v>
      </c>
      <c r="U12" s="140" cm="1">
        <f t="array" ref="U12">SUMPRODUCT(ISNUMBER( SEARCH('13 Space Heating Costs'!$C$7:$AW$7,'12 Space Heating Subcomponents'!H30)) *'13 Space Heating Costs'!$C$19:$AW$19)</f>
        <v>12054.254743053634</v>
      </c>
      <c r="V12" s="139"/>
      <c r="W12" s="140" cm="1">
        <f t="array" ref="W12">SUMPRODUCT(ISNUMBER( SEARCH('13 Space Heating Costs'!$C$7:$AW$7,'12 Space Heating Subcomponents'!J30)) *'13 Space Heating Costs'!$C$19:$AW$19)</f>
        <v>5054.706304660871</v>
      </c>
      <c r="X12" s="140" cm="1">
        <f t="array" ref="X12">SUMPRODUCT(ISNUMBER( SEARCH('13 Space Heating Costs'!$C$7:$AW$7,'12 Space Heating Subcomponents'!K30)) *'13 Space Heating Costs'!$C$19:$AW$19)</f>
        <v>10087.118393726691</v>
      </c>
      <c r="Y12" s="140" cm="1">
        <f t="array" ref="Y12">SUMPRODUCT(ISNUMBER( SEARCH('13 Space Heating Costs'!$C$7:$AW$7,'12 Space Heating Subcomponents'!L30)) *'13 Space Heating Costs'!$C$19:$AW$19)</f>
        <v>10028.345426401982</v>
      </c>
      <c r="Z12" s="140" cm="1">
        <f t="array" ref="Z12">SUMPRODUCT(ISNUMBER( SEARCH('13 Space Heating Costs'!$C$7:$AW$7,'12 Space Heating Subcomponents'!M30)) *'13 Space Heating Costs'!$C$19:$AW$19)</f>
        <v>11761.832454828213</v>
      </c>
      <c r="AA12" s="140" cm="1">
        <f t="array" ref="AA12">SUMPRODUCT(ISNUMBER( SEARCH('13 Space Heating Costs'!$C$7:$AW$7,'12 Space Heating Subcomponents'!N30)) *'13 Space Heating Costs'!$C$19:$AW$19)</f>
        <v>10799.740622538771</v>
      </c>
      <c r="AB12" s="140" cm="1">
        <f t="array" ref="AB12">SUMPRODUCT(ISNUMBER( SEARCH('13 Space Heating Costs'!$C$7:$AW$7,'12 Space Heating Subcomponents'!O30)) *'13 Space Heating Costs'!$C$19:$AW$19)</f>
        <v>11761.832454828213</v>
      </c>
      <c r="AC12" s="140" cm="1">
        <f t="array" ref="AC12">SUMPRODUCT(ISNUMBER( SEARCH('13 Space Heating Costs'!$C$7:$AW$7,'12 Space Heating Subcomponents'!P30)) *'13 Space Heating Costs'!$C$19:$AW$19)</f>
        <v>11642.843971780681</v>
      </c>
      <c r="AD12" s="402" cm="1">
        <f t="array" ref="AD12">SUMPRODUCT(ISNUMBER( SEARCH('13 Space Heating Costs'!$C$7:$AW$7,'12 Space Heating Subcomponents'!Q30)) *'13 Space Heating Costs'!$C$19:$AW$19)</f>
        <v>16967.691204698174</v>
      </c>
      <c r="AE12" s="72"/>
      <c r="AF12" s="1105"/>
      <c r="AG12" s="181" t="s">
        <v>242</v>
      </c>
      <c r="AH12" s="181" t="s">
        <v>245</v>
      </c>
      <c r="AI12" s="140" cm="1">
        <f t="array" ref="AI12">SUMPRODUCT(ISNUMBER( SEARCH('13 Space Heating Costs'!$C$7:$AW$7,'12 Space Heating Subcomponents'!G46)) *'13 Space Heating Costs'!$C$19:$AW$19)</f>
        <v>8340.145312886556</v>
      </c>
      <c r="AJ12" s="140" cm="1">
        <f t="array" ref="AJ12">SUMPRODUCT(ISNUMBER( SEARCH('13 Space Heating Costs'!$C$7:$AW$7,'12 Space Heating Subcomponents'!H46)) *'13 Space Heating Costs'!$C$19:$AW$19)</f>
        <v>10536.295191919797</v>
      </c>
      <c r="AK12" s="139"/>
      <c r="AL12" s="140" cm="1">
        <f t="array" ref="AL12">SUMPRODUCT(ISNUMBER( SEARCH('13 Space Heating Costs'!$C$7:$AW$7,'12 Space Heating Subcomponents'!J46)) *'13 Space Heating Costs'!$C$19:$AW$19)</f>
        <v>3536.7467535270353</v>
      </c>
      <c r="AM12" s="140" cm="1">
        <f t="array" ref="AM12">SUMPRODUCT(ISNUMBER( SEARCH('13 Space Heating Costs'!$C$7:$AW$7,'12 Space Heating Subcomponents'!K46)) *'13 Space Heating Costs'!$C$19:$AW$19)</f>
        <v>8569.158842592853</v>
      </c>
      <c r="AN12" s="140" cm="1">
        <f t="array" ref="AN12">SUMPRODUCT(ISNUMBER( SEARCH('13 Space Heating Costs'!$C$7:$AW$7,'12 Space Heating Subcomponents'!L46)) *'13 Space Heating Costs'!$C$19:$AW$19)</f>
        <v>8510.3858752681463</v>
      </c>
      <c r="AO12" s="140" cm="1">
        <f t="array" ref="AO12">SUMPRODUCT(ISNUMBER( SEARCH('13 Space Heating Costs'!$C$7:$AW$7,'12 Space Heating Subcomponents'!M46)) *'13 Space Heating Costs'!$C$19:$AW$19)</f>
        <v>10243.872903694375</v>
      </c>
      <c r="AP12" s="140" cm="1">
        <f t="array" ref="AP12">SUMPRODUCT(ISNUMBER( SEARCH('13 Space Heating Costs'!$C$7:$AW$7,'12 Space Heating Subcomponents'!N46)) *'13 Space Heating Costs'!$C$19:$AW$19)</f>
        <v>9281.7810714049338</v>
      </c>
      <c r="AQ12" s="140" cm="1">
        <f t="array" ref="AQ12">SUMPRODUCT(ISNUMBER( SEARCH('13 Space Heating Costs'!$C$7:$AW$7,'12 Space Heating Subcomponents'!O46)) *'13 Space Heating Costs'!$C$19:$AW$19)</f>
        <v>10243.872903694375</v>
      </c>
      <c r="AR12" s="140" cm="1">
        <f t="array" ref="AR12">SUMPRODUCT(ISNUMBER( SEARCH('13 Space Heating Costs'!$C$7:$AW$7,'12 Space Heating Subcomponents'!P46)) *'13 Space Heating Costs'!$C$19:$AW$19)</f>
        <v>10124.884420646844</v>
      </c>
      <c r="AS12" s="402" cm="1">
        <f t="array" ref="AS12">SUMPRODUCT(ISNUMBER( SEARCH('13 Space Heating Costs'!$C$7:$AW$7,'12 Space Heating Subcomponents'!Q46)) *'13 Space Heating Costs'!$C$19:$AW$19)</f>
        <v>15449.731653564337</v>
      </c>
      <c r="AT12" s="72"/>
    </row>
    <row r="13" spans="1:46" ht="200.1" customHeight="1" x14ac:dyDescent="0.25">
      <c r="A13" s="60"/>
      <c r="B13" s="1105"/>
      <c r="C13" s="182" t="s">
        <v>244</v>
      </c>
      <c r="D13" s="182" t="s">
        <v>245</v>
      </c>
      <c r="E13" s="139"/>
      <c r="F13" s="139"/>
      <c r="G13" s="139"/>
      <c r="H13" s="139"/>
      <c r="I13" s="139"/>
      <c r="J13" s="139"/>
      <c r="K13" s="139"/>
      <c r="L13" s="139"/>
      <c r="M13" s="139"/>
      <c r="N13" s="139"/>
      <c r="O13" s="141"/>
      <c r="P13" s="72"/>
      <c r="Q13" s="1105"/>
      <c r="R13" s="182" t="s">
        <v>244</v>
      </c>
      <c r="S13" s="182" t="s">
        <v>245</v>
      </c>
      <c r="T13" s="139"/>
      <c r="U13" s="139"/>
      <c r="V13" s="139"/>
      <c r="W13" s="139"/>
      <c r="X13" s="139"/>
      <c r="Y13" s="139"/>
      <c r="Z13" s="139"/>
      <c r="AA13" s="139"/>
      <c r="AB13" s="139"/>
      <c r="AC13" s="139"/>
      <c r="AD13" s="141"/>
      <c r="AE13" s="72"/>
      <c r="AF13" s="1105"/>
      <c r="AG13" s="182" t="s">
        <v>244</v>
      </c>
      <c r="AH13" s="182" t="s">
        <v>245</v>
      </c>
      <c r="AI13" s="139"/>
      <c r="AJ13" s="139"/>
      <c r="AK13" s="139"/>
      <c r="AL13" s="139"/>
      <c r="AM13" s="139"/>
      <c r="AN13" s="139"/>
      <c r="AO13" s="139"/>
      <c r="AP13" s="139"/>
      <c r="AQ13" s="139"/>
      <c r="AR13" s="139"/>
      <c r="AS13" s="141"/>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Costs'!$C$19:$AW$19)</f>
        <v>2245.9674684194242</v>
      </c>
      <c r="F14" s="140" cm="1">
        <f t="array" ref="F14">SUMPRODUCT(ISNUMBER( SEARCH('13 Space Heating Costs'!$C$7:$AW$7,'12 Space Heating Subcomponents'!H16)) *'13 Space Heating Costs'!$C$19:$AW$19)</f>
        <v>3795.6147068808818</v>
      </c>
      <c r="G14" s="140" cm="1">
        <f t="array" ref="G14">SUMPRODUCT(ISNUMBER( SEARCH('13 Space Heating Costs'!$C$7:$AW$7,'12 Space Heating Subcomponents'!I16)) *'13 Space Heating Costs'!$C$19:$AW$19)</f>
        <v>5827.4177135639866</v>
      </c>
      <c r="H14" s="140" cm="1">
        <f t="array" ref="H14">SUMPRODUCT(ISNUMBER( SEARCH('13 Space Heating Costs'!$C$7:$AW$7,'12 Space Heating Subcomponents'!J16)) *'13 Space Heating Costs'!$C$19:$AW$19)</f>
        <v>7384.9013476687378</v>
      </c>
      <c r="I14" s="139"/>
      <c r="J14" s="140" cm="1">
        <f t="array" ref="J14">SUMPRODUCT(ISNUMBER( SEARCH('13 Space Heating Costs'!$C$7:$AW$7,'12 Space Heating Subcomponents'!L16)) *'13 Space Heating Costs'!$C$19:$AW$19)</f>
        <v>5592.3258442651559</v>
      </c>
      <c r="K14" s="140" cm="1">
        <f t="array" ref="K14">SUMPRODUCT(ISNUMBER( SEARCH('13 Space Heating Costs'!$C$7:$AW$7,'12 Space Heating Subcomponents'!M16)) *'13 Space Heating Costs'!$C$19:$AW$19)</f>
        <v>2708.3148113737907</v>
      </c>
      <c r="L14" s="140" cm="1">
        <f t="array" ref="L14">SUMPRODUCT(ISNUMBER( SEARCH('13 Space Heating Costs'!$C$7:$AW$7,'12 Space Heating Subcomponents'!N16)) *'13 Space Heating Costs'!$C$19:$AW$19)</f>
        <v>6363.7210404019434</v>
      </c>
      <c r="M14" s="140" cm="1">
        <f t="array" ref="M14">SUMPRODUCT(ISNUMBER( SEARCH('13 Space Heating Costs'!$C$7:$AW$7,'12 Space Heating Subcomponents'!O16)) *'13 Space Heating Costs'!$C$19:$AW$19)</f>
        <v>2708.3148113737907</v>
      </c>
      <c r="N14" s="140" cm="1">
        <f t="array" ref="N14">SUMPRODUCT(ISNUMBER( SEARCH('13 Space Heating Costs'!$C$7:$AW$7,'12 Space Heating Subcomponents'!P16)) *'13 Space Heating Costs'!$C$19:$AW$19)</f>
        <v>3384.2039356079285</v>
      </c>
      <c r="O14" s="402" cm="1">
        <f t="array" ref="O14">SUMPRODUCT(ISNUMBER( SEARCH('13 Space Heating Costs'!$C$7:$AW$7,'12 Space Heating Subcomponents'!Q16)) *'13 Space Heating Costs'!$C$19:$AW$19)</f>
        <v>7990.6646802703144</v>
      </c>
      <c r="P14" s="72"/>
      <c r="Q14" s="1105"/>
      <c r="R14" s="182" t="s">
        <v>246</v>
      </c>
      <c r="S14" s="182" t="s">
        <v>243</v>
      </c>
      <c r="T14" s="140" cm="1">
        <f t="array" ref="T14">SUMPRODUCT(ISNUMBER( SEARCH('13 Space Heating Costs'!$C$7:$AW$7,'12 Space Heating Subcomponents'!G32)) *'13 Space Heating Costs'!$C$19:$AW$19)</f>
        <v>2245.9674684194242</v>
      </c>
      <c r="U14" s="140" cm="1">
        <f t="array" ref="U14">SUMPRODUCT(ISNUMBER( SEARCH('13 Space Heating Costs'!$C$7:$AW$7,'12 Space Heating Subcomponents'!H32)) *'13 Space Heating Costs'!$C$19:$AW$19)</f>
        <v>3795.6147068808818</v>
      </c>
      <c r="V14" s="140" cm="1">
        <f t="array" ref="V14">SUMPRODUCT(ISNUMBER( SEARCH('13 Space Heating Costs'!$C$7:$AW$7,'12 Space Heating Subcomponents'!I32)) *'13 Space Heating Costs'!$C$19:$AW$19)</f>
        <v>5827.4177135639866</v>
      </c>
      <c r="W14" s="140" cm="1">
        <f t="array" ref="W14">SUMPRODUCT(ISNUMBER( SEARCH('13 Space Heating Costs'!$C$7:$AW$7,'12 Space Heating Subcomponents'!J32)) *'13 Space Heating Costs'!$C$19:$AW$19)</f>
        <v>7384.9013476687378</v>
      </c>
      <c r="X14" s="139"/>
      <c r="Y14" s="140" cm="1">
        <f t="array" ref="Y14">SUMPRODUCT(ISNUMBER( SEARCH('13 Space Heating Costs'!$C$7:$AW$7,'12 Space Heating Subcomponents'!L32)) *'13 Space Heating Costs'!$C$19:$AW$19)</f>
        <v>5592.3258442651559</v>
      </c>
      <c r="Z14" s="140" cm="1">
        <f t="array" ref="Z14">SUMPRODUCT(ISNUMBER( SEARCH('13 Space Heating Costs'!$C$7:$AW$7,'12 Space Heating Subcomponents'!M32)) *'13 Space Heating Costs'!$C$19:$AW$19)</f>
        <v>2708.3148113737907</v>
      </c>
      <c r="AA14" s="140" cm="1">
        <f t="array" ref="AA14">SUMPRODUCT(ISNUMBER( SEARCH('13 Space Heating Costs'!$C$7:$AW$7,'12 Space Heating Subcomponents'!N32)) *'13 Space Heating Costs'!$C$19:$AW$19)</f>
        <v>6363.7210404019434</v>
      </c>
      <c r="AB14" s="140" cm="1">
        <f t="array" ref="AB14">SUMPRODUCT(ISNUMBER( SEARCH('13 Space Heating Costs'!$C$7:$AW$7,'12 Space Heating Subcomponents'!O32)) *'13 Space Heating Costs'!$C$19:$AW$19)</f>
        <v>2708.3148113737907</v>
      </c>
      <c r="AC14" s="140" cm="1">
        <f t="array" ref="AC14">SUMPRODUCT(ISNUMBER( SEARCH('13 Space Heating Costs'!$C$7:$AW$7,'12 Space Heating Subcomponents'!P32)) *'13 Space Heating Costs'!$C$19:$AW$19)</f>
        <v>3384.2039356079285</v>
      </c>
      <c r="AD14" s="402" cm="1">
        <f t="array" ref="AD14">SUMPRODUCT(ISNUMBER( SEARCH('13 Space Heating Costs'!$C$7:$AW$7,'12 Space Heating Subcomponents'!Q32)) *'13 Space Heating Costs'!$C$19:$AW$19)</f>
        <v>7990.6646802703144</v>
      </c>
      <c r="AE14" s="72"/>
      <c r="AF14" s="1105"/>
      <c r="AG14" s="182" t="s">
        <v>246</v>
      </c>
      <c r="AH14" s="182" t="s">
        <v>243</v>
      </c>
      <c r="AI14" s="140" cm="1">
        <f t="array" ref="AI14">SUMPRODUCT(ISNUMBER( SEARCH('13 Space Heating Costs'!$C$7:$AW$7,'12 Space Heating Subcomponents'!G48)) *'13 Space Heating Costs'!$C$19:$AW$19)</f>
        <v>2245.9674684194242</v>
      </c>
      <c r="AJ14" s="140" cm="1">
        <f t="array" ref="AJ14">SUMPRODUCT(ISNUMBER( SEARCH('13 Space Heating Costs'!$C$7:$AW$7,'12 Space Heating Subcomponents'!H48)) *'13 Space Heating Costs'!$C$19:$AW$19)</f>
        <v>3795.6147068808818</v>
      </c>
      <c r="AK14" s="140" cm="1">
        <f t="array" ref="AK14">SUMPRODUCT(ISNUMBER( SEARCH('13 Space Heating Costs'!$C$7:$AW$7,'12 Space Heating Subcomponents'!I48)) *'13 Space Heating Costs'!$C$19:$AW$19)</f>
        <v>5827.4177135639866</v>
      </c>
      <c r="AL14" s="140" cm="1">
        <f t="array" ref="AL14">SUMPRODUCT(ISNUMBER( SEARCH('13 Space Heating Costs'!$C$7:$AW$7,'12 Space Heating Subcomponents'!J48)) *'13 Space Heating Costs'!$C$19:$AW$19)</f>
        <v>7384.9013476687378</v>
      </c>
      <c r="AM14" s="139"/>
      <c r="AN14" s="140" cm="1">
        <f t="array" ref="AN14">SUMPRODUCT(ISNUMBER( SEARCH('13 Space Heating Costs'!$C$7:$AW$7,'12 Space Heating Subcomponents'!L48)) *'13 Space Heating Costs'!$C$19:$AW$19)</f>
        <v>5592.3258442651559</v>
      </c>
      <c r="AO14" s="140" cm="1">
        <f t="array" ref="AO14">SUMPRODUCT(ISNUMBER( SEARCH('13 Space Heating Costs'!$C$7:$AW$7,'12 Space Heating Subcomponents'!M48)) *'13 Space Heating Costs'!$C$19:$AW$19)</f>
        <v>2708.3148113737907</v>
      </c>
      <c r="AP14" s="140" cm="1">
        <f t="array" ref="AP14">SUMPRODUCT(ISNUMBER( SEARCH('13 Space Heating Costs'!$C$7:$AW$7,'12 Space Heating Subcomponents'!N48)) *'13 Space Heating Costs'!$C$19:$AW$19)</f>
        <v>6363.7210404019434</v>
      </c>
      <c r="AQ14" s="140" cm="1">
        <f t="array" ref="AQ14">SUMPRODUCT(ISNUMBER( SEARCH('13 Space Heating Costs'!$C$7:$AW$7,'12 Space Heating Subcomponents'!O48)) *'13 Space Heating Costs'!$C$19:$AW$19)</f>
        <v>2708.3148113737907</v>
      </c>
      <c r="AR14" s="140" cm="1">
        <f t="array" ref="AR14">SUMPRODUCT(ISNUMBER( SEARCH('13 Space Heating Costs'!$C$7:$AW$7,'12 Space Heating Subcomponents'!P48)) *'13 Space Heating Costs'!$C$19:$AW$19)</f>
        <v>3384.2039356079285</v>
      </c>
      <c r="AS14" s="402" cm="1">
        <f t="array" ref="AS14">SUMPRODUCT(ISNUMBER( SEARCH('13 Space Heating Costs'!$C$7:$AW$7,'12 Space Heating Subcomponents'!Q48)) *'13 Space Heating Costs'!$C$19:$AW$19)</f>
        <v>7990.6646802703144</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Costs'!$C$19:$AW$19)</f>
        <v>2749.1788889491622</v>
      </c>
      <c r="F15" s="140" cm="1">
        <f t="array" ref="F15">SUMPRODUCT(ISNUMBER( SEARCH('13 Space Heating Costs'!$C$7:$AW$7,'12 Space Heating Subcomponents'!H17)) *'13 Space Heating Costs'!$C$19:$AW$19)</f>
        <v>4298.8261274106198</v>
      </c>
      <c r="G15" s="140" cm="1">
        <f t="array" ref="G15">SUMPRODUCT(ISNUMBER( SEARCH('13 Space Heating Costs'!$C$7:$AW$7,'12 Space Heating Subcomponents'!I17)) *'13 Space Heating Costs'!$C$19:$AW$19)</f>
        <v>1713.1310727761297</v>
      </c>
      <c r="H15" s="140" cm="1">
        <f t="array" ref="H15">SUMPRODUCT(ISNUMBER( SEARCH('13 Space Heating Costs'!$C$7:$AW$7,'12 Space Heating Subcomponents'!J17)) *'13 Space Heating Costs'!$C$19:$AW$19)</f>
        <v>3270.6147068808818</v>
      </c>
      <c r="I15" s="140" cm="1">
        <f t="array" ref="I15">SUMPRODUCT(ISNUMBER( SEARCH('13 Space Heating Costs'!$C$7:$AW$7,'12 Space Heating Subcomponents'!K17)) *'13 Space Heating Costs'!$C$19:$AW$19)</f>
        <v>2565.0235913317447</v>
      </c>
      <c r="J15" s="139"/>
      <c r="K15" s="140" cm="1">
        <f t="array" ref="K15">SUMPRODUCT(ISNUMBER( SEARCH('13 Space Heating Costs'!$C$7:$AW$7,'12 Space Heating Subcomponents'!M17)) *'13 Space Heating Costs'!$C$19:$AW$19)</f>
        <v>3211.5262319035287</v>
      </c>
      <c r="L15" s="140" cm="1">
        <f t="array" ref="L15">SUMPRODUCT(ISNUMBER( SEARCH('13 Space Heating Costs'!$C$7:$AW$7,'12 Space Heating Subcomponents'!N17)) *'13 Space Heating Costs'!$C$19:$AW$19)</f>
        <v>2249.4343996140869</v>
      </c>
      <c r="M15" s="140" cm="1">
        <f t="array" ref="M15">SUMPRODUCT(ISNUMBER( SEARCH('13 Space Heating Costs'!$C$7:$AW$7,'12 Space Heating Subcomponents'!O17)) *'13 Space Heating Costs'!$C$19:$AW$19)</f>
        <v>3211.5262319035287</v>
      </c>
      <c r="N15" s="140" cm="1">
        <f t="array" ref="N15">SUMPRODUCT(ISNUMBER( SEARCH('13 Space Heating Costs'!$C$7:$AW$7,'12 Space Heating Subcomponents'!P17)) *'13 Space Heating Costs'!$C$19:$AW$19)</f>
        <v>3887.4153561376665</v>
      </c>
      <c r="O15" s="402" cm="1">
        <f t="array" ref="O15">SUMPRODUCT(ISNUMBER( SEARCH('13 Space Heating Costs'!$C$7:$AW$7,'12 Space Heating Subcomponents'!Q17)) *'13 Space Heating Costs'!$C$19:$AW$19)</f>
        <v>4828.0983409856344</v>
      </c>
      <c r="P15" s="72"/>
      <c r="Q15" s="1105"/>
      <c r="R15" s="182" t="s">
        <v>246</v>
      </c>
      <c r="S15" s="182" t="s">
        <v>247</v>
      </c>
      <c r="T15" s="140" cm="1">
        <f t="array" ref="T15">SUMPRODUCT(ISNUMBER( SEARCH('13 Space Heating Costs'!$C$7:$AW$7,'12 Space Heating Subcomponents'!G33)) *'13 Space Heating Costs'!$C$19:$AW$19)</f>
        <v>2749.1788889491622</v>
      </c>
      <c r="U15" s="140" cm="1">
        <f t="array" ref="U15">SUMPRODUCT(ISNUMBER( SEARCH('13 Space Heating Costs'!$C$7:$AW$7,'12 Space Heating Subcomponents'!H33)) *'13 Space Heating Costs'!$C$19:$AW$19)</f>
        <v>4298.8261274106198</v>
      </c>
      <c r="V15" s="140" cm="1">
        <f t="array" ref="V15">SUMPRODUCT(ISNUMBER( SEARCH('13 Space Heating Costs'!$C$7:$AW$7,'12 Space Heating Subcomponents'!I33)) *'13 Space Heating Costs'!$C$19:$AW$19)</f>
        <v>1713.1310727761297</v>
      </c>
      <c r="W15" s="140" cm="1">
        <f t="array" ref="W15">SUMPRODUCT(ISNUMBER( SEARCH('13 Space Heating Costs'!$C$7:$AW$7,'12 Space Heating Subcomponents'!J33)) *'13 Space Heating Costs'!$C$19:$AW$19)</f>
        <v>3270.6147068808818</v>
      </c>
      <c r="X15" s="140" cm="1">
        <f t="array" ref="X15">SUMPRODUCT(ISNUMBER( SEARCH('13 Space Heating Costs'!$C$7:$AW$7,'12 Space Heating Subcomponents'!K33)) *'13 Space Heating Costs'!$C$19:$AW$19)</f>
        <v>2565.0235913317447</v>
      </c>
      <c r="Y15" s="139"/>
      <c r="Z15" s="140" cm="1">
        <f t="array" ref="Z15">SUMPRODUCT(ISNUMBER( SEARCH('13 Space Heating Costs'!$C$7:$AW$7,'12 Space Heating Subcomponents'!M33)) *'13 Space Heating Costs'!$C$19:$AW$19)</f>
        <v>3211.5262319035287</v>
      </c>
      <c r="AA15" s="140" cm="1">
        <f t="array" ref="AA15">SUMPRODUCT(ISNUMBER( SEARCH('13 Space Heating Costs'!$C$7:$AW$7,'12 Space Heating Subcomponents'!N33)) *'13 Space Heating Costs'!$C$19:$AW$19)</f>
        <v>2249.4343996140869</v>
      </c>
      <c r="AB15" s="140" cm="1">
        <f t="array" ref="AB15">SUMPRODUCT(ISNUMBER( SEARCH('13 Space Heating Costs'!$C$7:$AW$7,'12 Space Heating Subcomponents'!O33)) *'13 Space Heating Costs'!$C$19:$AW$19)</f>
        <v>3211.5262319035287</v>
      </c>
      <c r="AC15" s="140" cm="1">
        <f t="array" ref="AC15">SUMPRODUCT(ISNUMBER( SEARCH('13 Space Heating Costs'!$C$7:$AW$7,'12 Space Heating Subcomponents'!P33)) *'13 Space Heating Costs'!$C$19:$AW$19)</f>
        <v>3887.4153561376665</v>
      </c>
      <c r="AD15" s="402" cm="1">
        <f t="array" ref="AD15">SUMPRODUCT(ISNUMBER( SEARCH('13 Space Heating Costs'!$C$7:$AW$7,'12 Space Heating Subcomponents'!Q33)) *'13 Space Heating Costs'!$C$19:$AW$19)</f>
        <v>4828.0983409856344</v>
      </c>
      <c r="AE15" s="72"/>
      <c r="AF15" s="1105"/>
      <c r="AG15" s="182" t="s">
        <v>246</v>
      </c>
      <c r="AH15" s="182" t="s">
        <v>247</v>
      </c>
      <c r="AI15" s="140" cm="1">
        <f t="array" ref="AI15">SUMPRODUCT(ISNUMBER( SEARCH('13 Space Heating Costs'!$C$7:$AW$7,'12 Space Heating Subcomponents'!G49)) *'13 Space Heating Costs'!$C$19:$AW$19)</f>
        <v>2749.1788889491622</v>
      </c>
      <c r="AJ15" s="140" cm="1">
        <f t="array" ref="AJ15">SUMPRODUCT(ISNUMBER( SEARCH('13 Space Heating Costs'!$C$7:$AW$7,'12 Space Heating Subcomponents'!H49)) *'13 Space Heating Costs'!$C$19:$AW$19)</f>
        <v>4298.8261274106198</v>
      </c>
      <c r="AK15" s="140" cm="1">
        <f t="array" ref="AK15">SUMPRODUCT(ISNUMBER( SEARCH('13 Space Heating Costs'!$C$7:$AW$7,'12 Space Heating Subcomponents'!I49)) *'13 Space Heating Costs'!$C$19:$AW$19)</f>
        <v>1713.1310727761297</v>
      </c>
      <c r="AL15" s="140" cm="1">
        <f t="array" ref="AL15">SUMPRODUCT(ISNUMBER( SEARCH('13 Space Heating Costs'!$C$7:$AW$7,'12 Space Heating Subcomponents'!J49)) *'13 Space Heating Costs'!$C$19:$AW$19)</f>
        <v>3270.6147068808818</v>
      </c>
      <c r="AM15" s="140" cm="1">
        <f t="array" ref="AM15">SUMPRODUCT(ISNUMBER( SEARCH('13 Space Heating Costs'!$C$7:$AW$7,'12 Space Heating Subcomponents'!K49)) *'13 Space Heating Costs'!$C$19:$AW$19)</f>
        <v>2565.0235913317447</v>
      </c>
      <c r="AN15" s="139"/>
      <c r="AO15" s="140" cm="1">
        <f t="array" ref="AO15">SUMPRODUCT(ISNUMBER( SEARCH('13 Space Heating Costs'!$C$7:$AW$7,'12 Space Heating Subcomponents'!M49)) *'13 Space Heating Costs'!$C$19:$AW$19)</f>
        <v>3211.5262319035287</v>
      </c>
      <c r="AP15" s="140" cm="1">
        <f t="array" ref="AP15">SUMPRODUCT(ISNUMBER( SEARCH('13 Space Heating Costs'!$C$7:$AW$7,'12 Space Heating Subcomponents'!N49)) *'13 Space Heating Costs'!$C$19:$AW$19)</f>
        <v>2249.4343996140869</v>
      </c>
      <c r="AQ15" s="140" cm="1">
        <f t="array" ref="AQ15">SUMPRODUCT(ISNUMBER( SEARCH('13 Space Heating Costs'!$C$7:$AW$7,'12 Space Heating Subcomponents'!O49)) *'13 Space Heating Costs'!$C$19:$AW$19)</f>
        <v>3211.5262319035287</v>
      </c>
      <c r="AR15" s="140" cm="1">
        <f t="array" ref="AR15">SUMPRODUCT(ISNUMBER( SEARCH('13 Space Heating Costs'!$C$7:$AW$7,'12 Space Heating Subcomponents'!P49)) *'13 Space Heating Costs'!$C$19:$AW$19)</f>
        <v>3887.4153561376665</v>
      </c>
      <c r="AS15" s="402" cm="1">
        <f t="array" ref="AS15">SUMPRODUCT(ISNUMBER( SEARCH('13 Space Heating Costs'!$C$7:$AW$7,'12 Space Heating Subcomponents'!Q49)) *'13 Space Heating Costs'!$C$19:$AW$19)</f>
        <v>4828.0983409856344</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Costs'!$C$19:$AW$19)</f>
        <v>1545.9674684194242</v>
      </c>
      <c r="F16" s="140" cm="1">
        <f t="array" ref="F16">SUMPRODUCT(ISNUMBER( SEARCH('13 Space Heating Costs'!$C$7:$AW$7,'12 Space Heating Subcomponents'!H18)) *'13 Space Heating Costs'!$C$19:$AW$19)</f>
        <v>3095.6147068808818</v>
      </c>
      <c r="G16" s="140" cm="1">
        <f t="array" ref="G16">SUMPRODUCT(ISNUMBER( SEARCH('13 Space Heating Costs'!$C$7:$AW$7,'12 Space Heating Subcomponents'!I18)) *'13 Space Heating Costs'!$C$19:$AW$19)</f>
        <v>5127.4177135639866</v>
      </c>
      <c r="H16" s="140" cm="1">
        <f t="array" ref="H16">SUMPRODUCT(ISNUMBER( SEARCH('13 Space Heating Costs'!$C$7:$AW$7,'12 Space Heating Subcomponents'!J18)) *'13 Space Heating Costs'!$C$19:$AW$19)</f>
        <v>6684.9013476687378</v>
      </c>
      <c r="I16" s="140" cm="1">
        <f t="array" ref="I16">SUMPRODUCT(ISNUMBER( SEARCH('13 Space Heating Costs'!$C$7:$AW$7,'12 Space Heating Subcomponents'!K18)) *'13 Space Heating Costs'!$C$19:$AW$19)</f>
        <v>1361.8121708020069</v>
      </c>
      <c r="J16" s="140" cm="1">
        <f t="array" ref="J16">SUMPRODUCT(ISNUMBER( SEARCH('13 Space Heating Costs'!$C$7:$AW$7,'12 Space Heating Subcomponents'!L18)) *'13 Space Heating Costs'!$C$19:$AW$19)</f>
        <v>4892.3258442651559</v>
      </c>
      <c r="K16" s="139"/>
      <c r="L16" s="140" cm="1">
        <f t="array" ref="L16">SUMPRODUCT(ISNUMBER( SEARCH('13 Space Heating Costs'!$C$7:$AW$7,'12 Space Heating Subcomponents'!N18)) *'13 Space Heating Costs'!$C$19:$AW$19)</f>
        <v>4712.0007388987669</v>
      </c>
      <c r="M16" s="140" cm="1">
        <f t="array" ref="M16">SUMPRODUCT(ISNUMBER( SEARCH('13 Space Heating Costs'!$C$7:$AW$7,'12 Space Heating Subcomponents'!O18)) *'13 Space Heating Costs'!$C$19:$AW$19)</f>
        <v>1056.5945098706143</v>
      </c>
      <c r="N16" s="140" cm="1">
        <f t="array" ref="N16">SUMPRODUCT(ISNUMBER( SEARCH('13 Space Heating Costs'!$C$7:$AW$7,'12 Space Heating Subcomponents'!P18)) *'13 Space Heating Costs'!$C$19:$AW$19)</f>
        <v>2684.2039356079285</v>
      </c>
      <c r="O16" s="402" cm="1">
        <f t="array" ref="O16">SUMPRODUCT(ISNUMBER( SEARCH('13 Space Heating Costs'!$C$7:$AW$7,'12 Space Heating Subcomponents'!Q18)) *'13 Space Heating Costs'!$C$19:$AW$19)</f>
        <v>7290.6646802703144</v>
      </c>
      <c r="P16" s="72"/>
      <c r="Q16" s="1105"/>
      <c r="R16" s="182" t="s">
        <v>246</v>
      </c>
      <c r="S16" s="182" t="s">
        <v>248</v>
      </c>
      <c r="T16" s="140" cm="1">
        <f t="array" ref="T16">SUMPRODUCT(ISNUMBER( SEARCH('13 Space Heating Costs'!$C$7:$AW$7,'12 Space Heating Subcomponents'!G34)) *'13 Space Heating Costs'!$C$19:$AW$19)</f>
        <v>1545.9674684194242</v>
      </c>
      <c r="U16" s="140" cm="1">
        <f t="array" ref="U16">SUMPRODUCT(ISNUMBER( SEARCH('13 Space Heating Costs'!$C$7:$AW$7,'12 Space Heating Subcomponents'!H34)) *'13 Space Heating Costs'!$C$19:$AW$19)</f>
        <v>3095.6147068808818</v>
      </c>
      <c r="V16" s="140" cm="1">
        <f t="array" ref="V16">SUMPRODUCT(ISNUMBER( SEARCH('13 Space Heating Costs'!$C$7:$AW$7,'12 Space Heating Subcomponents'!I34)) *'13 Space Heating Costs'!$C$19:$AW$19)</f>
        <v>5127.4177135639866</v>
      </c>
      <c r="W16" s="140" cm="1">
        <f t="array" ref="W16">SUMPRODUCT(ISNUMBER( SEARCH('13 Space Heating Costs'!$C$7:$AW$7,'12 Space Heating Subcomponents'!J34)) *'13 Space Heating Costs'!$C$19:$AW$19)</f>
        <v>6684.9013476687378</v>
      </c>
      <c r="X16" s="140" cm="1">
        <f t="array" ref="X16">SUMPRODUCT(ISNUMBER( SEARCH('13 Space Heating Costs'!$C$7:$AW$7,'12 Space Heating Subcomponents'!K34)) *'13 Space Heating Costs'!$C$19:$AW$19)</f>
        <v>1361.8121708020069</v>
      </c>
      <c r="Y16" s="140" cm="1">
        <f t="array" ref="Y16">SUMPRODUCT(ISNUMBER( SEARCH('13 Space Heating Costs'!$C$7:$AW$7,'12 Space Heating Subcomponents'!L34)) *'13 Space Heating Costs'!$C$19:$AW$19)</f>
        <v>4892.3258442651559</v>
      </c>
      <c r="Z16" s="139"/>
      <c r="AA16" s="140" cm="1">
        <f t="array" ref="AA16">SUMPRODUCT(ISNUMBER( SEARCH('13 Space Heating Costs'!$C$7:$AW$7,'12 Space Heating Subcomponents'!N34)) *'13 Space Heating Costs'!$C$19:$AW$19)</f>
        <v>4712.0007388987669</v>
      </c>
      <c r="AB16" s="140" cm="1">
        <f t="array" ref="AB16">SUMPRODUCT(ISNUMBER( SEARCH('13 Space Heating Costs'!$C$7:$AW$7,'12 Space Heating Subcomponents'!O34)) *'13 Space Heating Costs'!$C$19:$AW$19)</f>
        <v>1056.5945098706143</v>
      </c>
      <c r="AC16" s="140" cm="1">
        <f t="array" ref="AC16">SUMPRODUCT(ISNUMBER( SEARCH('13 Space Heating Costs'!$C$7:$AW$7,'12 Space Heating Subcomponents'!P34)) *'13 Space Heating Costs'!$C$19:$AW$19)</f>
        <v>2684.2039356079285</v>
      </c>
      <c r="AD16" s="402" cm="1">
        <f t="array" ref="AD16">SUMPRODUCT(ISNUMBER( SEARCH('13 Space Heating Costs'!$C$7:$AW$7,'12 Space Heating Subcomponents'!Q34)) *'13 Space Heating Costs'!$C$19:$AW$19)</f>
        <v>7290.6646802703144</v>
      </c>
      <c r="AE16" s="72"/>
      <c r="AF16" s="1105"/>
      <c r="AG16" s="182" t="s">
        <v>246</v>
      </c>
      <c r="AH16" s="182" t="s">
        <v>248</v>
      </c>
      <c r="AI16" s="140" cm="1">
        <f t="array" ref="AI16">SUMPRODUCT(ISNUMBER( SEARCH('13 Space Heating Costs'!$C$7:$AW$7,'12 Space Heating Subcomponents'!G50)) *'13 Space Heating Costs'!$C$19:$AW$19)</f>
        <v>1545.9674684194242</v>
      </c>
      <c r="AJ16" s="140" cm="1">
        <f t="array" ref="AJ16">SUMPRODUCT(ISNUMBER( SEARCH('13 Space Heating Costs'!$C$7:$AW$7,'12 Space Heating Subcomponents'!H50)) *'13 Space Heating Costs'!$C$19:$AW$19)</f>
        <v>3095.6147068808818</v>
      </c>
      <c r="AK16" s="140" cm="1">
        <f t="array" ref="AK16">SUMPRODUCT(ISNUMBER( SEARCH('13 Space Heating Costs'!$C$7:$AW$7,'12 Space Heating Subcomponents'!I50)) *'13 Space Heating Costs'!$C$19:$AW$19)</f>
        <v>5127.4177135639866</v>
      </c>
      <c r="AL16" s="140" cm="1">
        <f t="array" ref="AL16">SUMPRODUCT(ISNUMBER( SEARCH('13 Space Heating Costs'!$C$7:$AW$7,'12 Space Heating Subcomponents'!J50)) *'13 Space Heating Costs'!$C$19:$AW$19)</f>
        <v>6684.9013476687378</v>
      </c>
      <c r="AM16" s="140" cm="1">
        <f t="array" ref="AM16">SUMPRODUCT(ISNUMBER( SEARCH('13 Space Heating Costs'!$C$7:$AW$7,'12 Space Heating Subcomponents'!K50)) *'13 Space Heating Costs'!$C$19:$AW$19)</f>
        <v>1361.8121708020069</v>
      </c>
      <c r="AN16" s="140" cm="1">
        <f t="array" ref="AN16">SUMPRODUCT(ISNUMBER( SEARCH('13 Space Heating Costs'!$C$7:$AW$7,'12 Space Heating Subcomponents'!L50)) *'13 Space Heating Costs'!$C$19:$AW$19)</f>
        <v>4892.3258442651559</v>
      </c>
      <c r="AO16" s="139"/>
      <c r="AP16" s="140" cm="1">
        <f t="array" ref="AP16">SUMPRODUCT(ISNUMBER( SEARCH('13 Space Heating Costs'!$C$7:$AW$7,'12 Space Heating Subcomponents'!N50)) *'13 Space Heating Costs'!$C$19:$AW$19)</f>
        <v>4712.0007388987669</v>
      </c>
      <c r="AQ16" s="140" cm="1">
        <f t="array" ref="AQ16">SUMPRODUCT(ISNUMBER( SEARCH('13 Space Heating Costs'!$C$7:$AW$7,'12 Space Heating Subcomponents'!O50)) *'13 Space Heating Costs'!$C$19:$AW$19)</f>
        <v>1056.5945098706143</v>
      </c>
      <c r="AR16" s="140" cm="1">
        <f t="array" ref="AR16">SUMPRODUCT(ISNUMBER( SEARCH('13 Space Heating Costs'!$C$7:$AW$7,'12 Space Heating Subcomponents'!P50)) *'13 Space Heating Costs'!$C$19:$AW$19)</f>
        <v>2684.2039356079285</v>
      </c>
      <c r="AS16" s="402" cm="1">
        <f t="array" ref="AS16">SUMPRODUCT(ISNUMBER( SEARCH('13 Space Heating Costs'!$C$7:$AW$7,'12 Space Heating Subcomponents'!Q50)) *'13 Space Heating Costs'!$C$19:$AW$19)</f>
        <v>7290.6646802703144</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Costs'!$C$19:$AW$19)</f>
        <v>4783.8603365383924</v>
      </c>
      <c r="F17" s="140" cm="1">
        <f t="array" ref="F17">SUMPRODUCT(ISNUMBER( SEARCH('13 Space Heating Costs'!$C$7:$AW$7,'12 Space Heating Subcomponents'!H19)) *'13 Space Heating Costs'!$C$19:$AW$19)</f>
        <v>6333.5075749998505</v>
      </c>
      <c r="G17" s="140" cm="1">
        <f t="array" ref="G17">SUMPRODUCT(ISNUMBER( SEARCH('13 Space Heating Costs'!$C$7:$AW$7,'12 Space Heating Subcomponents'!I19)) *'13 Space Heating Costs'!$C$19:$AW$19)</f>
        <v>3747.8125203653603</v>
      </c>
      <c r="H17" s="140" cm="1">
        <f t="array" ref="H17">SUMPRODUCT(ISNUMBER( SEARCH('13 Space Heating Costs'!$C$7:$AW$7,'12 Space Heating Subcomponents'!J19)) *'13 Space Heating Costs'!$C$19:$AW$19)</f>
        <v>5305.296154470112</v>
      </c>
      <c r="I17" s="140" cm="1">
        <f t="array" ref="I17">SUMPRODUCT(ISNUMBER( SEARCH('13 Space Heating Costs'!$C$7:$AW$7,'12 Space Heating Subcomponents'!K19)) *'13 Space Heating Costs'!$C$19:$AW$19)</f>
        <v>4599.7050389209753</v>
      </c>
      <c r="J17" s="140" cm="1">
        <f t="array" ref="J17">SUMPRODUCT(ISNUMBER( SEARCH('13 Space Heating Costs'!$C$7:$AW$7,'12 Space Heating Subcomponents'!L19)) *'13 Space Heating Costs'!$C$19:$AW$19)</f>
        <v>4540.9320715962676</v>
      </c>
      <c r="K17" s="140" cm="1">
        <f t="array" ref="K17">SUMPRODUCT(ISNUMBER( SEARCH('13 Space Heating Costs'!$C$7:$AW$7,'12 Space Heating Subcomponents'!M19)) *'13 Space Heating Costs'!$C$19:$AW$19)</f>
        <v>4294.4873779895825</v>
      </c>
      <c r="L17" s="139"/>
      <c r="M17" s="140" cm="1">
        <f t="array" ref="M17">SUMPRODUCT(ISNUMBER( SEARCH('13 Space Heating Costs'!$C$7:$AW$7,'12 Space Heating Subcomponents'!O19)) *'13 Space Heating Costs'!$C$19:$AW$19)</f>
        <v>4294.4873779895825</v>
      </c>
      <c r="N17" s="140" cm="1">
        <f t="array" ref="N17">SUMPRODUCT(ISNUMBER( SEARCH('13 Space Heating Costs'!$C$7:$AW$7,'12 Space Heating Subcomponents'!P19)) *'13 Space Heating Costs'!$C$19:$AW$19)</f>
        <v>5922.0968037268976</v>
      </c>
      <c r="O17" s="402" cm="1">
        <f t="array" ref="O17">SUMPRODUCT(ISNUMBER( SEARCH('13 Space Heating Costs'!$C$7:$AW$7,'12 Space Heating Subcomponents'!Q19)) *'13 Space Heating Costs'!$C$19:$AW$19)</f>
        <v>6862.7797885748641</v>
      </c>
      <c r="P17" s="72"/>
      <c r="Q17" s="1105"/>
      <c r="R17" s="182" t="s">
        <v>246</v>
      </c>
      <c r="S17" s="182" t="s">
        <v>249</v>
      </c>
      <c r="T17" s="140" cm="1">
        <f t="array" ref="T17">SUMPRODUCT(ISNUMBER( SEARCH('13 Space Heating Costs'!$C$7:$AW$7,'12 Space Heating Subcomponents'!G35)) *'13 Space Heating Costs'!$C$19:$AW$19)</f>
        <v>4783.8603365383924</v>
      </c>
      <c r="U17" s="140" cm="1">
        <f t="array" ref="U17">SUMPRODUCT(ISNUMBER( SEARCH('13 Space Heating Costs'!$C$7:$AW$7,'12 Space Heating Subcomponents'!H35)) *'13 Space Heating Costs'!$C$19:$AW$19)</f>
        <v>6333.5075749998505</v>
      </c>
      <c r="V17" s="140" cm="1">
        <f t="array" ref="V17">SUMPRODUCT(ISNUMBER( SEARCH('13 Space Heating Costs'!$C$7:$AW$7,'12 Space Heating Subcomponents'!I35)) *'13 Space Heating Costs'!$C$19:$AW$19)</f>
        <v>3747.8125203653603</v>
      </c>
      <c r="W17" s="140" cm="1">
        <f t="array" ref="W17">SUMPRODUCT(ISNUMBER( SEARCH('13 Space Heating Costs'!$C$7:$AW$7,'12 Space Heating Subcomponents'!J35)) *'13 Space Heating Costs'!$C$19:$AW$19)</f>
        <v>5305.296154470112</v>
      </c>
      <c r="X17" s="140" cm="1">
        <f t="array" ref="X17">SUMPRODUCT(ISNUMBER( SEARCH('13 Space Heating Costs'!$C$7:$AW$7,'12 Space Heating Subcomponents'!K35)) *'13 Space Heating Costs'!$C$19:$AW$19)</f>
        <v>4599.7050389209753</v>
      </c>
      <c r="Y17" s="140" cm="1">
        <f t="array" ref="Y17">SUMPRODUCT(ISNUMBER( SEARCH('13 Space Heating Costs'!$C$7:$AW$7,'12 Space Heating Subcomponents'!L35)) *'13 Space Heating Costs'!$C$19:$AW$19)</f>
        <v>4540.9320715962676</v>
      </c>
      <c r="Z17" s="140" cm="1">
        <f t="array" ref="Z17">SUMPRODUCT(ISNUMBER( SEARCH('13 Space Heating Costs'!$C$7:$AW$7,'12 Space Heating Subcomponents'!M35)) *'13 Space Heating Costs'!$C$19:$AW$19)</f>
        <v>4294.4873779895825</v>
      </c>
      <c r="AA17" s="139"/>
      <c r="AB17" s="140" cm="1">
        <f t="array" ref="AB17">SUMPRODUCT(ISNUMBER( SEARCH('13 Space Heating Costs'!$C$7:$AW$7,'12 Space Heating Subcomponents'!O35)) *'13 Space Heating Costs'!$C$19:$AW$19)</f>
        <v>4294.4873779895825</v>
      </c>
      <c r="AC17" s="140" cm="1">
        <f t="array" ref="AC17">SUMPRODUCT(ISNUMBER( SEARCH('13 Space Heating Costs'!$C$7:$AW$7,'12 Space Heating Subcomponents'!P35)) *'13 Space Heating Costs'!$C$19:$AW$19)</f>
        <v>5922.0968037268976</v>
      </c>
      <c r="AD17" s="402" cm="1">
        <f t="array" ref="AD17">SUMPRODUCT(ISNUMBER( SEARCH('13 Space Heating Costs'!$C$7:$AW$7,'12 Space Heating Subcomponents'!Q35)) *'13 Space Heating Costs'!$C$19:$AW$19)</f>
        <v>6862.7797885748641</v>
      </c>
      <c r="AE17" s="72"/>
      <c r="AF17" s="1105"/>
      <c r="AG17" s="182" t="s">
        <v>246</v>
      </c>
      <c r="AH17" s="182" t="s">
        <v>249</v>
      </c>
      <c r="AI17" s="140" cm="1">
        <f t="array" ref="AI17">SUMPRODUCT(ISNUMBER( SEARCH('13 Space Heating Costs'!$C$7:$AW$7,'12 Space Heating Subcomponents'!G51)) *'13 Space Heating Costs'!$C$19:$AW$19)</f>
        <v>4783.8603365383924</v>
      </c>
      <c r="AJ17" s="140" cm="1">
        <f t="array" ref="AJ17">SUMPRODUCT(ISNUMBER( SEARCH('13 Space Heating Costs'!$C$7:$AW$7,'12 Space Heating Subcomponents'!H51)) *'13 Space Heating Costs'!$C$19:$AW$19)</f>
        <v>6333.5075749998505</v>
      </c>
      <c r="AK17" s="140" cm="1">
        <f t="array" ref="AK17">SUMPRODUCT(ISNUMBER( SEARCH('13 Space Heating Costs'!$C$7:$AW$7,'12 Space Heating Subcomponents'!I51)) *'13 Space Heating Costs'!$C$19:$AW$19)</f>
        <v>3747.8125203653603</v>
      </c>
      <c r="AL17" s="140" cm="1">
        <f t="array" ref="AL17">SUMPRODUCT(ISNUMBER( SEARCH('13 Space Heating Costs'!$C$7:$AW$7,'12 Space Heating Subcomponents'!J51)) *'13 Space Heating Costs'!$C$19:$AW$19)</f>
        <v>5305.296154470112</v>
      </c>
      <c r="AM17" s="140" cm="1">
        <f t="array" ref="AM17">SUMPRODUCT(ISNUMBER( SEARCH('13 Space Heating Costs'!$C$7:$AW$7,'12 Space Heating Subcomponents'!K51)) *'13 Space Heating Costs'!$C$19:$AW$19)</f>
        <v>4599.7050389209753</v>
      </c>
      <c r="AN17" s="140" cm="1">
        <f t="array" ref="AN17">SUMPRODUCT(ISNUMBER( SEARCH('13 Space Heating Costs'!$C$7:$AW$7,'12 Space Heating Subcomponents'!L51)) *'13 Space Heating Costs'!$C$19:$AW$19)</f>
        <v>4540.9320715962676</v>
      </c>
      <c r="AO17" s="140" cm="1">
        <f t="array" ref="AO17">SUMPRODUCT(ISNUMBER( SEARCH('13 Space Heating Costs'!$C$7:$AW$7,'12 Space Heating Subcomponents'!M51)) *'13 Space Heating Costs'!$C$19:$AW$19)</f>
        <v>4294.4873779895825</v>
      </c>
      <c r="AP17" s="139"/>
      <c r="AQ17" s="140" cm="1">
        <f t="array" ref="AQ17">SUMPRODUCT(ISNUMBER( SEARCH('13 Space Heating Costs'!$C$7:$AW$7,'12 Space Heating Subcomponents'!O51)) *'13 Space Heating Costs'!$C$19:$AW$19)</f>
        <v>4294.4873779895825</v>
      </c>
      <c r="AR17" s="140" cm="1">
        <f t="array" ref="AR17">SUMPRODUCT(ISNUMBER( SEARCH('13 Space Heating Costs'!$C$7:$AW$7,'12 Space Heating Subcomponents'!P51)) *'13 Space Heating Costs'!$C$19:$AW$19)</f>
        <v>5922.0968037268976</v>
      </c>
      <c r="AS17" s="402" cm="1">
        <f t="array" ref="AS17">SUMPRODUCT(ISNUMBER( SEARCH('13 Space Heating Costs'!$C$7:$AW$7,'12 Space Heating Subcomponents'!Q51)) *'13 Space Heating Costs'!$C$19:$AW$19)</f>
        <v>6862.7797885748641</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Costs'!$C$19:$AW$19)</f>
        <v>18920.755757908064</v>
      </c>
      <c r="F18" s="140" cm="1">
        <f t="array" ref="F18">SUMPRODUCT(ISNUMBER( SEARCH('13 Space Heating Costs'!$C$7:$AW$7,'12 Space Heating Subcomponents'!H20)) *'13 Space Heating Costs'!$C$19:$AW$19)</f>
        <v>24059.689637157378</v>
      </c>
      <c r="G18" s="140" cm="1">
        <f t="array" ref="G18">SUMPRODUCT(ISNUMBER( SEARCH('13 Space Heating Costs'!$C$7:$AW$7,'12 Space Heating Subcomponents'!I20)) *'13 Space Heating Costs'!$C$19:$AW$19)</f>
        <v>18912.919362264769</v>
      </c>
      <c r="H18" s="140" cm="1">
        <f t="array" ref="H18">SUMPRODUCT(ISNUMBER( SEARCH('13 Space Heating Costs'!$C$7:$AW$7,'12 Space Heating Subcomponents'!J20)) *'13 Space Heating Costs'!$C$19:$AW$19)</f>
        <v>24059.689637157378</v>
      </c>
      <c r="I18" s="140" cm="1">
        <f t="array" ref="I18">SUMPRODUCT(ISNUMBER( SEARCH('13 Space Heating Costs'!$C$7:$AW$7,'12 Space Heating Subcomponents'!K20)) *'13 Space Heating Costs'!$C$19:$AW$19)</f>
        <v>18736.600460290647</v>
      </c>
      <c r="J18" s="140" cm="1">
        <f t="array" ref="J18">SUMPRODUCT(ISNUMBER( SEARCH('13 Space Heating Costs'!$C$7:$AW$7,'12 Space Heating Subcomponents'!L20)) *'13 Space Heating Costs'!$C$19:$AW$19)</f>
        <v>23061.991741035465</v>
      </c>
      <c r="K18" s="140" cm="1">
        <f t="array" ref="K18">SUMPRODUCT(ISNUMBER( SEARCH('13 Space Heating Costs'!$C$7:$AW$7,'12 Space Heating Subcomponents'!M20)) *'13 Space Heating Costs'!$C$19:$AW$19)</f>
        <v>18431.382799359253</v>
      </c>
      <c r="L18" s="140" cm="1">
        <f t="array" ref="L18">SUMPRODUCT(ISNUMBER( SEARCH('13 Space Heating Costs'!$C$7:$AW$7,'12 Space Heating Subcomponents'!N20)) *'13 Space Heating Costs'!$C$19:$AW$19)</f>
        <v>22086.789028387408</v>
      </c>
      <c r="M18" s="139"/>
      <c r="N18" s="140" cm="1">
        <f t="array" ref="N18">SUMPRODUCT(ISNUMBER( SEARCH('13 Space Heating Costs'!$C$7:$AW$7,'12 Space Heating Subcomponents'!P20)) *'13 Space Heating Costs'!$C$19:$AW$19)</f>
        <v>23648.278865884426</v>
      </c>
      <c r="O18" s="402" cm="1">
        <f t="array" ref="O18">SUMPRODUCT(ISNUMBER( SEARCH('13 Space Heating Costs'!$C$7:$AW$7,'12 Space Heating Subcomponents'!Q20)) *'13 Space Heating Costs'!$C$19:$AW$19)</f>
        <v>21871.043936252765</v>
      </c>
      <c r="P18" s="72"/>
      <c r="Q18" s="1105"/>
      <c r="R18" s="182" t="s">
        <v>246</v>
      </c>
      <c r="S18" s="182" t="s">
        <v>250</v>
      </c>
      <c r="T18" s="140" cm="1">
        <f t="array" ref="T18">SUMPRODUCT(ISNUMBER( SEARCH('13 Space Heating Costs'!$C$7:$AW$7,'12 Space Heating Subcomponents'!G36)) *'13 Space Heating Costs'!$C$19:$AW$19)</f>
        <v>18920.755757908064</v>
      </c>
      <c r="U18" s="140" cm="1">
        <f t="array" ref="U18">SUMPRODUCT(ISNUMBER( SEARCH('13 Space Heating Costs'!$C$7:$AW$7,'12 Space Heating Subcomponents'!H36)) *'13 Space Heating Costs'!$C$19:$AW$19)</f>
        <v>24059.689637157378</v>
      </c>
      <c r="V18" s="140" cm="1">
        <f t="array" ref="V18">SUMPRODUCT(ISNUMBER( SEARCH('13 Space Heating Costs'!$C$7:$AW$7,'12 Space Heating Subcomponents'!I36)) *'13 Space Heating Costs'!$C$19:$AW$19)</f>
        <v>18912.919362264769</v>
      </c>
      <c r="W18" s="140" cm="1">
        <f t="array" ref="W18">SUMPRODUCT(ISNUMBER( SEARCH('13 Space Heating Costs'!$C$7:$AW$7,'12 Space Heating Subcomponents'!J36)) *'13 Space Heating Costs'!$C$19:$AW$19)</f>
        <v>24059.689637157378</v>
      </c>
      <c r="X18" s="140" cm="1">
        <f t="array" ref="X18">SUMPRODUCT(ISNUMBER( SEARCH('13 Space Heating Costs'!$C$7:$AW$7,'12 Space Heating Subcomponents'!K36)) *'13 Space Heating Costs'!$C$19:$AW$19)</f>
        <v>18736.600460290647</v>
      </c>
      <c r="Y18" s="140" cm="1">
        <f t="array" ref="Y18">SUMPRODUCT(ISNUMBER( SEARCH('13 Space Heating Costs'!$C$7:$AW$7,'12 Space Heating Subcomponents'!L36)) *'13 Space Heating Costs'!$C$19:$AW$19)</f>
        <v>23061.991741035465</v>
      </c>
      <c r="Z18" s="140" cm="1">
        <f t="array" ref="Z18">SUMPRODUCT(ISNUMBER( SEARCH('13 Space Heating Costs'!$C$7:$AW$7,'12 Space Heating Subcomponents'!M36)) *'13 Space Heating Costs'!$C$19:$AW$19)</f>
        <v>18431.382799359253</v>
      </c>
      <c r="AA18" s="140" cm="1">
        <f t="array" ref="AA18">SUMPRODUCT(ISNUMBER( SEARCH('13 Space Heating Costs'!$C$7:$AW$7,'12 Space Heating Subcomponents'!N36)) *'13 Space Heating Costs'!$C$19:$AW$19)</f>
        <v>22086.789028387408</v>
      </c>
      <c r="AB18" s="139"/>
      <c r="AC18" s="140" cm="1">
        <f t="array" ref="AC18">SUMPRODUCT(ISNUMBER( SEARCH('13 Space Heating Costs'!$C$7:$AW$7,'12 Space Heating Subcomponents'!P36)) *'13 Space Heating Costs'!$C$19:$AW$19)</f>
        <v>23648.278865884426</v>
      </c>
      <c r="AD18" s="402" cm="1">
        <f t="array" ref="AD18">SUMPRODUCT(ISNUMBER( SEARCH('13 Space Heating Costs'!$C$7:$AW$7,'12 Space Heating Subcomponents'!Q36)) *'13 Space Heating Costs'!$C$19:$AW$19)</f>
        <v>21871.043936252765</v>
      </c>
      <c r="AE18" s="72"/>
      <c r="AF18" s="1105"/>
      <c r="AG18" s="182" t="s">
        <v>246</v>
      </c>
      <c r="AH18" s="182" t="s">
        <v>250</v>
      </c>
      <c r="AI18" s="140" cm="1">
        <f t="array" ref="AI18">SUMPRODUCT(ISNUMBER( SEARCH('13 Space Heating Costs'!$C$7:$AW$7,'12 Space Heating Subcomponents'!G52)) *'13 Space Heating Costs'!$C$19:$AW$19)</f>
        <v>18920.755757908064</v>
      </c>
      <c r="AJ18" s="140" cm="1">
        <f t="array" ref="AJ18">SUMPRODUCT(ISNUMBER( SEARCH('13 Space Heating Costs'!$C$7:$AW$7,'12 Space Heating Subcomponents'!H52)) *'13 Space Heating Costs'!$C$19:$AW$19)</f>
        <v>24059.689637157378</v>
      </c>
      <c r="AK18" s="140" cm="1">
        <f t="array" ref="AK18">SUMPRODUCT(ISNUMBER( SEARCH('13 Space Heating Costs'!$C$7:$AW$7,'12 Space Heating Subcomponents'!I52)) *'13 Space Heating Costs'!$C$19:$AW$19)</f>
        <v>18912.919362264769</v>
      </c>
      <c r="AL18" s="140" cm="1">
        <f t="array" ref="AL18">SUMPRODUCT(ISNUMBER( SEARCH('13 Space Heating Costs'!$C$7:$AW$7,'12 Space Heating Subcomponents'!J52)) *'13 Space Heating Costs'!$C$19:$AW$19)</f>
        <v>24059.689637157378</v>
      </c>
      <c r="AM18" s="140" cm="1">
        <f t="array" ref="AM18">SUMPRODUCT(ISNUMBER( SEARCH('13 Space Heating Costs'!$C$7:$AW$7,'12 Space Heating Subcomponents'!K52)) *'13 Space Heating Costs'!$C$19:$AW$19)</f>
        <v>18736.600460290647</v>
      </c>
      <c r="AN18" s="140" cm="1">
        <f t="array" ref="AN18">SUMPRODUCT(ISNUMBER( SEARCH('13 Space Heating Costs'!$C$7:$AW$7,'12 Space Heating Subcomponents'!L52)) *'13 Space Heating Costs'!$C$19:$AW$19)</f>
        <v>23061.991741035465</v>
      </c>
      <c r="AO18" s="140" cm="1">
        <f t="array" ref="AO18">SUMPRODUCT(ISNUMBER( SEARCH('13 Space Heating Costs'!$C$7:$AW$7,'12 Space Heating Subcomponents'!M52)) *'13 Space Heating Costs'!$C$19:$AW$19)</f>
        <v>18431.382799359253</v>
      </c>
      <c r="AP18" s="140" cm="1">
        <f t="array" ref="AP18">SUMPRODUCT(ISNUMBER( SEARCH('13 Space Heating Costs'!$C$7:$AW$7,'12 Space Heating Subcomponents'!N52)) *'13 Space Heating Costs'!$C$19:$AW$19)</f>
        <v>22086.789028387408</v>
      </c>
      <c r="AQ18" s="139"/>
      <c r="AR18" s="140" cm="1">
        <f t="array" ref="AR18">SUMPRODUCT(ISNUMBER( SEARCH('13 Space Heating Costs'!$C$7:$AW$7,'12 Space Heating Subcomponents'!P52)) *'13 Space Heating Costs'!$C$19:$AW$19)</f>
        <v>23648.278865884426</v>
      </c>
      <c r="AS18" s="402" cm="1">
        <f t="array" ref="AS18">SUMPRODUCT(ISNUMBER( SEARCH('13 Space Heating Costs'!$C$7:$AW$7,'12 Space Heating Subcomponents'!Q52)) *'13 Space Heating Costs'!$C$19:$AW$19)</f>
        <v>21871.043936252765</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Costs'!$C$19:$AW$19)</f>
        <v>2827.4499801977427</v>
      </c>
      <c r="F19" s="140" cm="1">
        <f t="array" ref="F19">SUMPRODUCT(ISNUMBER( SEARCH('13 Space Heating Costs'!$C$7:$AW$7,'12 Space Heating Subcomponents'!H21)) *'13 Space Heating Costs'!$C$19:$AW$19)</f>
        <v>4377.0972186592007</v>
      </c>
      <c r="G19" s="140" cm="1">
        <f t="array" ref="G19">SUMPRODUCT(ISNUMBER( SEARCH('13 Space Heating Costs'!$C$7:$AW$7,'12 Space Heating Subcomponents'!I21)) *'13 Space Heating Costs'!$C$19:$AW$19)</f>
        <v>6408.900225342305</v>
      </c>
      <c r="H19" s="140" cm="1">
        <f t="array" ref="H19">SUMPRODUCT(ISNUMBER( SEARCH('13 Space Heating Costs'!$C$7:$AW$7,'12 Space Heating Subcomponents'!J21)) *'13 Space Heating Costs'!$C$19:$AW$19)</f>
        <v>7966.3838594470571</v>
      </c>
      <c r="I19" s="140" cm="1">
        <f t="array" ref="I19">SUMPRODUCT(ISNUMBER( SEARCH('13 Space Heating Costs'!$C$7:$AW$7,'12 Space Heating Subcomponents'!K21)) *'13 Space Heating Costs'!$C$19:$AW$19)</f>
        <v>3438.1722898619946</v>
      </c>
      <c r="J19" s="140" cm="1">
        <f t="array" ref="J19">SUMPRODUCT(ISNUMBER( SEARCH('13 Space Heating Costs'!$C$7:$AW$7,'12 Space Heating Subcomponents'!L21)) *'13 Space Heating Costs'!$C$19:$AW$19)</f>
        <v>6968.6859633251433</v>
      </c>
      <c r="K19" s="140" cm="1">
        <f t="array" ref="K19">SUMPRODUCT(ISNUMBER( SEARCH('13 Space Heating Costs'!$C$7:$AW$7,'12 Space Heating Subcomponents'!M21)) *'13 Space Heating Costs'!$C$19:$AW$19)</f>
        <v>4084.6749304337782</v>
      </c>
      <c r="L19" s="140" cm="1">
        <f t="array" ref="L19">SUMPRODUCT(ISNUMBER( SEARCH('13 Space Heating Costs'!$C$7:$AW$7,'12 Space Heating Subcomponents'!N21)) *'13 Space Heating Costs'!$C$19:$AW$19)</f>
        <v>7740.0811594619308</v>
      </c>
      <c r="M19" s="140" cm="1">
        <f t="array" ref="M19">SUMPRODUCT(ISNUMBER( SEARCH('13 Space Heating Costs'!$C$7:$AW$7,'12 Space Heating Subcomponents'!O21)) *'13 Space Heating Costs'!$C$19:$AW$19)</f>
        <v>4084.6749304337782</v>
      </c>
      <c r="N19" s="139"/>
      <c r="O19" s="402" cm="1">
        <f t="array" ref="O19">SUMPRODUCT(ISNUMBER( SEARCH('13 Space Heating Costs'!$C$7:$AW$7,'12 Space Heating Subcomponents'!Q21)) *'13 Space Heating Costs'!$C$19:$AW$19)</f>
        <v>10318.745100833479</v>
      </c>
      <c r="P19" s="72"/>
      <c r="Q19" s="1105"/>
      <c r="R19" s="182" t="s">
        <v>86</v>
      </c>
      <c r="S19" s="182" t="s">
        <v>243</v>
      </c>
      <c r="T19" s="140" cm="1">
        <f t="array" ref="T19">SUMPRODUCT(ISNUMBER( SEARCH('13 Space Heating Costs'!$C$7:$AW$7,'12 Space Heating Subcomponents'!G37)) *'13 Space Heating Costs'!$C$19:$AW$19)</f>
        <v>3851.9754625713281</v>
      </c>
      <c r="U19" s="140" cm="1">
        <f t="array" ref="U19">SUMPRODUCT(ISNUMBER( SEARCH('13 Space Heating Costs'!$C$7:$AW$7,'12 Space Heating Subcomponents'!H37)) *'13 Space Heating Costs'!$C$19:$AW$19)</f>
        <v>5401.6227010327857</v>
      </c>
      <c r="V19" s="140" cm="1">
        <f t="array" ref="V19">SUMPRODUCT(ISNUMBER( SEARCH('13 Space Heating Costs'!$C$7:$AW$7,'12 Space Heating Subcomponents'!I37)) *'13 Space Heating Costs'!$C$19:$AW$19)</f>
        <v>7433.4257077158909</v>
      </c>
      <c r="W19" s="140" cm="1">
        <f t="array" ref="W19">SUMPRODUCT(ISNUMBER( SEARCH('13 Space Heating Costs'!$C$7:$AW$7,'12 Space Heating Subcomponents'!J37)) *'13 Space Heating Costs'!$C$19:$AW$19)</f>
        <v>8990.909341820643</v>
      </c>
      <c r="X19" s="140" cm="1">
        <f t="array" ref="X19">SUMPRODUCT(ISNUMBER( SEARCH('13 Space Heating Costs'!$C$7:$AW$7,'12 Space Heating Subcomponents'!K37)) *'13 Space Heating Costs'!$C$19:$AW$19)</f>
        <v>4462.6977722355805</v>
      </c>
      <c r="Y19" s="140" cm="1">
        <f t="array" ref="Y19">SUMPRODUCT(ISNUMBER( SEARCH('13 Space Heating Costs'!$C$7:$AW$7,'12 Space Heating Subcomponents'!L37)) *'13 Space Heating Costs'!$C$19:$AW$19)</f>
        <v>7993.2114456987292</v>
      </c>
      <c r="Z19" s="140" cm="1">
        <f t="array" ref="Z19">SUMPRODUCT(ISNUMBER( SEARCH('13 Space Heating Costs'!$C$7:$AW$7,'12 Space Heating Subcomponents'!M37)) *'13 Space Heating Costs'!$C$19:$AW$19)</f>
        <v>5109.200412807364</v>
      </c>
      <c r="AA19" s="140" cm="1">
        <f t="array" ref="AA19">SUMPRODUCT(ISNUMBER( SEARCH('13 Space Heating Costs'!$C$7:$AW$7,'12 Space Heating Subcomponents'!N37)) *'13 Space Heating Costs'!$C$19:$AW$19)</f>
        <v>8764.6066418355167</v>
      </c>
      <c r="AB19" s="140" cm="1">
        <f t="array" ref="AB19">SUMPRODUCT(ISNUMBER( SEARCH('13 Space Heating Costs'!$C$7:$AW$7,'12 Space Heating Subcomponents'!O37)) *'13 Space Heating Costs'!$C$19:$AW$19)</f>
        <v>5109.200412807364</v>
      </c>
      <c r="AC19" s="139"/>
      <c r="AD19" s="402" cm="1">
        <f t="array" ref="AD19">SUMPRODUCT(ISNUMBER( SEARCH('13 Space Heating Costs'!$C$7:$AW$7,'12 Space Heating Subcomponents'!Q37)) *'13 Space Heating Costs'!$C$19:$AW$19)</f>
        <v>11343.270583207064</v>
      </c>
      <c r="AE19" s="72"/>
      <c r="AF19" s="1105"/>
      <c r="AG19" s="182" t="s">
        <v>86</v>
      </c>
      <c r="AH19" s="182" t="s">
        <v>243</v>
      </c>
      <c r="AI19" s="140" cm="1">
        <f t="array" ref="AI19">SUMPRODUCT(ISNUMBER( SEARCH('13 Space Heating Costs'!$C$7:$AW$7,'12 Space Heating Subcomponents'!G53)) *'13 Space Heating Costs'!$C$19:$AW$19)</f>
        <v>2334.0159114374919</v>
      </c>
      <c r="AJ19" s="140" cm="1">
        <f t="array" ref="AJ19">SUMPRODUCT(ISNUMBER( SEARCH('13 Space Heating Costs'!$C$7:$AW$7,'12 Space Heating Subcomponents'!H53)) *'13 Space Heating Costs'!$C$19:$AW$19)</f>
        <v>3883.6631498989495</v>
      </c>
      <c r="AK19" s="140" cm="1">
        <f t="array" ref="AK19">SUMPRODUCT(ISNUMBER( SEARCH('13 Space Heating Costs'!$C$7:$AW$7,'12 Space Heating Subcomponents'!I53)) *'13 Space Heating Costs'!$C$19:$AW$19)</f>
        <v>5915.4661565820543</v>
      </c>
      <c r="AL19" s="140" cm="1">
        <f t="array" ref="AL19">SUMPRODUCT(ISNUMBER( SEARCH('13 Space Heating Costs'!$C$7:$AW$7,'12 Space Heating Subcomponents'!J53)) *'13 Space Heating Costs'!$C$19:$AW$19)</f>
        <v>7472.9497906868064</v>
      </c>
      <c r="AM19" s="140" cm="1">
        <f t="array" ref="AM19">SUMPRODUCT(ISNUMBER( SEARCH('13 Space Heating Costs'!$C$7:$AW$7,'12 Space Heating Subcomponents'!K53)) *'13 Space Heating Costs'!$C$19:$AW$19)</f>
        <v>2944.7382211017439</v>
      </c>
      <c r="AN19" s="140" cm="1">
        <f t="array" ref="AN19">SUMPRODUCT(ISNUMBER( SEARCH('13 Space Heating Costs'!$C$7:$AW$7,'12 Space Heating Subcomponents'!L53)) *'13 Space Heating Costs'!$C$19:$AW$19)</f>
        <v>6475.2518945648926</v>
      </c>
      <c r="AO19" s="140" cm="1">
        <f t="array" ref="AO19">SUMPRODUCT(ISNUMBER( SEARCH('13 Space Heating Costs'!$C$7:$AW$7,'12 Space Heating Subcomponents'!M53)) *'13 Space Heating Costs'!$C$19:$AW$19)</f>
        <v>3591.2408616735274</v>
      </c>
      <c r="AP19" s="140" cm="1">
        <f t="array" ref="AP19">SUMPRODUCT(ISNUMBER( SEARCH('13 Space Heating Costs'!$C$7:$AW$7,'12 Space Heating Subcomponents'!N53)) *'13 Space Heating Costs'!$C$19:$AW$19)</f>
        <v>7246.6470907016801</v>
      </c>
      <c r="AQ19" s="140" cm="1">
        <f t="array" ref="AQ19">SUMPRODUCT(ISNUMBER( SEARCH('13 Space Heating Costs'!$C$7:$AW$7,'12 Space Heating Subcomponents'!O53)) *'13 Space Heating Costs'!$C$19:$AW$19)</f>
        <v>3591.2408616735274</v>
      </c>
      <c r="AR19" s="139"/>
      <c r="AS19" s="402" cm="1">
        <f t="array" ref="AS19">SUMPRODUCT(ISNUMBER( SEARCH('13 Space Heating Costs'!$C$7:$AW$7,'12 Space Heating Subcomponents'!Q53)) *'13 Space Heating Costs'!$C$19:$AW$19)</f>
        <v>9825.3110320732267</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Costs'!$C$19:$AW$19)</f>
        <v>4049.5224148403822</v>
      </c>
      <c r="F20" s="403" cm="1">
        <f t="array" ref="F20">SUMPRODUCT(ISNUMBER( SEARCH('13 Space Heating Costs'!$C$7:$AW$7,'12 Space Heating Subcomponents'!H22)) *'13 Space Heating Costs'!$C$19:$AW$19)</f>
        <v>5599.1696533018403</v>
      </c>
      <c r="G20" s="403" cm="1">
        <f t="array" ref="G20">SUMPRODUCT(ISNUMBER( SEARCH('13 Space Heating Costs'!$C$7:$AW$7,'12 Space Heating Subcomponents'!I22)) *'13 Space Heating Costs'!$C$19:$AW$19)</f>
        <v>4041.6860191970877</v>
      </c>
      <c r="H20" s="403" cm="1">
        <f t="array" ref="H20">SUMPRODUCT(ISNUMBER( SEARCH('13 Space Heating Costs'!$C$7:$AW$7,'12 Space Heating Subcomponents'!J22)) *'13 Space Heating Costs'!$C$19:$AW$19)</f>
        <v>5599.1696533018403</v>
      </c>
      <c r="I20" s="403" cm="1">
        <f t="array" ref="I20">SUMPRODUCT(ISNUMBER( SEARCH('13 Space Heating Costs'!$C$7:$AW$7,'12 Space Heating Subcomponents'!K22)) *'13 Space Heating Costs'!$C$19:$AW$19)</f>
        <v>3865.3671172229651</v>
      </c>
      <c r="J20" s="403" cm="1">
        <f t="array" ref="J20">SUMPRODUCT(ISNUMBER( SEARCH('13 Space Heating Costs'!$C$7:$AW$7,'12 Space Heating Subcomponents'!L22)) *'13 Space Heating Costs'!$C$19:$AW$19)</f>
        <v>3806.5941498982575</v>
      </c>
      <c r="K20" s="403" cm="1">
        <f t="array" ref="K20">SUMPRODUCT(ISNUMBER( SEARCH('13 Space Heating Costs'!$C$7:$AW$7,'12 Space Heating Subcomponents'!M22)) *'13 Space Heating Costs'!$C$19:$AW$19)</f>
        <v>4511.8697577947487</v>
      </c>
      <c r="L20" s="403" cm="1">
        <f t="array" ref="L20">SUMPRODUCT(ISNUMBER( SEARCH('13 Space Heating Costs'!$C$7:$AW$7,'12 Space Heating Subcomponents'!N22)) *'13 Space Heating Costs'!$C$19:$AW$19)</f>
        <v>4577.9893460350449</v>
      </c>
      <c r="M20" s="403" cm="1">
        <f t="array" ref="M20">SUMPRODUCT(ISNUMBER( SEARCH('13 Space Heating Costs'!$C$7:$AW$7,'12 Space Heating Subcomponents'!O22)) *'13 Space Heating Costs'!$C$19:$AW$19)</f>
        <v>4511.8697577947487</v>
      </c>
      <c r="N20" s="403" cm="1">
        <f t="array" ref="N20">SUMPRODUCT(ISNUMBER( SEARCH('13 Space Heating Costs'!$C$7:$AW$7,'12 Space Heating Subcomponents'!P22)) *'13 Space Heating Costs'!$C$19:$AW$19)</f>
        <v>5187.7588820288865</v>
      </c>
      <c r="O20" s="516"/>
      <c r="P20" s="58"/>
      <c r="Q20" s="1106"/>
      <c r="R20" s="366" t="s">
        <v>252</v>
      </c>
      <c r="S20" s="366" t="s">
        <v>253</v>
      </c>
      <c r="T20" s="403" cm="1">
        <f t="array" ref="T20">SUMPRODUCT(ISNUMBER( SEARCH('13 Space Heating Costs'!$C$7:$AW$7,'12 Space Heating Subcomponents'!G38)) *'13 Space Heating Costs'!$C$19:$AW$19)</f>
        <v>4049.5224148403822</v>
      </c>
      <c r="U20" s="403" cm="1">
        <f t="array" ref="U20">SUMPRODUCT(ISNUMBER( SEARCH('13 Space Heating Costs'!$C$7:$AW$7,'12 Space Heating Subcomponents'!H38)) *'13 Space Heating Costs'!$C$19:$AW$19)</f>
        <v>5599.1696533018403</v>
      </c>
      <c r="V20" s="403" cm="1">
        <f t="array" ref="V20">SUMPRODUCT(ISNUMBER( SEARCH('13 Space Heating Costs'!$C$7:$AW$7,'12 Space Heating Subcomponents'!I38)) *'13 Space Heating Costs'!$C$19:$AW$19)</f>
        <v>4041.6860191970877</v>
      </c>
      <c r="W20" s="403" cm="1">
        <f t="array" ref="W20">SUMPRODUCT(ISNUMBER( SEARCH('13 Space Heating Costs'!$C$7:$AW$7,'12 Space Heating Subcomponents'!J38)) *'13 Space Heating Costs'!$C$19:$AW$19)</f>
        <v>5599.1696533018403</v>
      </c>
      <c r="X20" s="403" cm="1">
        <f t="array" ref="X20">SUMPRODUCT(ISNUMBER( SEARCH('13 Space Heating Costs'!$C$7:$AW$7,'12 Space Heating Subcomponents'!K38)) *'13 Space Heating Costs'!$C$19:$AW$19)</f>
        <v>3865.3671172229651</v>
      </c>
      <c r="Y20" s="403" cm="1">
        <f t="array" ref="Y20">SUMPRODUCT(ISNUMBER( SEARCH('13 Space Heating Costs'!$C$7:$AW$7,'12 Space Heating Subcomponents'!L38)) *'13 Space Heating Costs'!$C$19:$AW$19)</f>
        <v>3806.5941498982575</v>
      </c>
      <c r="Z20" s="403" cm="1">
        <f t="array" ref="Z20">SUMPRODUCT(ISNUMBER( SEARCH('13 Space Heating Costs'!$C$7:$AW$7,'12 Space Heating Subcomponents'!M38)) *'13 Space Heating Costs'!$C$19:$AW$19)</f>
        <v>4511.8697577947487</v>
      </c>
      <c r="AA20" s="403" cm="1">
        <f t="array" ref="AA20">SUMPRODUCT(ISNUMBER( SEARCH('13 Space Heating Costs'!$C$7:$AW$7,'12 Space Heating Subcomponents'!N38)) *'13 Space Heating Costs'!$C$19:$AW$19)</f>
        <v>4577.9893460350449</v>
      </c>
      <c r="AB20" s="403" cm="1">
        <f t="array" ref="AB20">SUMPRODUCT(ISNUMBER( SEARCH('13 Space Heating Costs'!$C$7:$AW$7,'12 Space Heating Subcomponents'!O38)) *'13 Space Heating Costs'!$C$19:$AW$19)</f>
        <v>4511.8697577947487</v>
      </c>
      <c r="AC20" s="403" cm="1">
        <f t="array" ref="AC20">SUMPRODUCT(ISNUMBER( SEARCH('13 Space Heating Costs'!$C$7:$AW$7,'12 Space Heating Subcomponents'!P38)) *'13 Space Heating Costs'!$C$19:$AW$19)</f>
        <v>5187.7588820288865</v>
      </c>
      <c r="AD20" s="516"/>
      <c r="AE20" s="58"/>
      <c r="AF20" s="1106"/>
      <c r="AG20" s="366" t="s">
        <v>252</v>
      </c>
      <c r="AH20" s="366" t="s">
        <v>253</v>
      </c>
      <c r="AI20" s="403" cm="1">
        <f t="array" ref="AI20">SUMPRODUCT(ISNUMBER( SEARCH('13 Space Heating Costs'!$C$7:$AW$7,'12 Space Heating Subcomponents'!G54)) *'13 Space Heating Costs'!$C$19:$AW$19)</f>
        <v>4049.5224148403822</v>
      </c>
      <c r="AJ20" s="403" cm="1">
        <f t="array" ref="AJ20">SUMPRODUCT(ISNUMBER( SEARCH('13 Space Heating Costs'!$C$7:$AW$7,'12 Space Heating Subcomponents'!H54)) *'13 Space Heating Costs'!$C$19:$AW$19)</f>
        <v>5599.1696533018403</v>
      </c>
      <c r="AK20" s="403" cm="1">
        <f t="array" ref="AK20">SUMPRODUCT(ISNUMBER( SEARCH('13 Space Heating Costs'!$C$7:$AW$7,'12 Space Heating Subcomponents'!I54)) *'13 Space Heating Costs'!$C$19:$AW$19)</f>
        <v>4041.6860191970877</v>
      </c>
      <c r="AL20" s="403" cm="1">
        <f t="array" ref="AL20">SUMPRODUCT(ISNUMBER( SEARCH('13 Space Heating Costs'!$C$7:$AW$7,'12 Space Heating Subcomponents'!J54)) *'13 Space Heating Costs'!$C$19:$AW$19)</f>
        <v>5599.1696533018403</v>
      </c>
      <c r="AM20" s="403" cm="1">
        <f t="array" ref="AM20">SUMPRODUCT(ISNUMBER( SEARCH('13 Space Heating Costs'!$C$7:$AW$7,'12 Space Heating Subcomponents'!K54)) *'13 Space Heating Costs'!$C$19:$AW$19)</f>
        <v>3865.3671172229651</v>
      </c>
      <c r="AN20" s="403" cm="1">
        <f t="array" ref="AN20">SUMPRODUCT(ISNUMBER( SEARCH('13 Space Heating Costs'!$C$7:$AW$7,'12 Space Heating Subcomponents'!L54)) *'13 Space Heating Costs'!$C$19:$AW$19)</f>
        <v>3806.5941498982575</v>
      </c>
      <c r="AO20" s="403" cm="1">
        <f t="array" ref="AO20">SUMPRODUCT(ISNUMBER( SEARCH('13 Space Heating Costs'!$C$7:$AW$7,'12 Space Heating Subcomponents'!M54)) *'13 Space Heating Costs'!$C$19:$AW$19)</f>
        <v>4511.8697577947487</v>
      </c>
      <c r="AP20" s="403" cm="1">
        <f t="array" ref="AP20">SUMPRODUCT(ISNUMBER( SEARCH('13 Space Heating Costs'!$C$7:$AW$7,'12 Space Heating Subcomponents'!N54)) *'13 Space Heating Costs'!$C$19:$AW$19)</f>
        <v>4577.9893460350449</v>
      </c>
      <c r="AQ20" s="403" cm="1">
        <f t="array" ref="AQ20">SUMPRODUCT(ISNUMBER( SEARCH('13 Space Heating Costs'!$C$7:$AW$7,'12 Space Heating Subcomponents'!O54)) *'13 Space Heating Costs'!$C$19:$AW$19)</f>
        <v>4511.8697577947487</v>
      </c>
      <c r="AR20" s="403" cm="1">
        <f t="array" ref="AR20">SUMPRODUCT(ISNUMBER( SEARCH('13 Space Heating Costs'!$C$7:$AW$7,'12 Space Heating Subcomponents'!P54)) *'13 Space Heating Costs'!$C$19:$AW$19)</f>
        <v>5187.7588820288865</v>
      </c>
      <c r="AS20" s="516"/>
      <c r="AT20" s="58"/>
    </row>
    <row r="21" spans="1:46" s="61" customFormat="1" ht="80.099999999999994"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A22" s="673"/>
      <c r="B22" s="1107" t="s">
        <v>1070</v>
      </c>
      <c r="C22" s="1108"/>
      <c r="D22" s="1108"/>
      <c r="E22" s="1108"/>
      <c r="F22" s="1108"/>
      <c r="G22" s="1108"/>
      <c r="H22" s="1109"/>
      <c r="I22"/>
      <c r="Q22" s="1107" t="s">
        <v>1071</v>
      </c>
      <c r="R22" s="1108"/>
      <c r="S22" s="1108"/>
      <c r="T22" s="1108"/>
      <c r="U22" s="1108"/>
      <c r="V22" s="1108"/>
      <c r="W22" s="1109"/>
      <c r="X22"/>
      <c r="AF22" s="1107" t="s">
        <v>1075</v>
      </c>
      <c r="AG22" s="1108"/>
      <c r="AH22" s="1108"/>
      <c r="AI22" s="1108"/>
      <c r="AJ22" s="1108"/>
      <c r="AK22" s="1108"/>
      <c r="AL22" s="1109"/>
      <c r="AM22" s="673"/>
      <c r="AN22" s="673"/>
      <c r="AO22" s="673"/>
      <c r="AP22" s="673"/>
      <c r="AQ22" s="673"/>
    </row>
    <row r="23" spans="1:46" s="5" customFormat="1" ht="79.900000000000006"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c r="AM23" s="675"/>
      <c r="AN23" s="675"/>
      <c r="AO23" s="675"/>
      <c r="AP23" s="675"/>
      <c r="AQ23" s="675"/>
    </row>
    <row r="24" spans="1:46" s="5" customFormat="1" ht="79.900000000000006"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c r="AM24" s="672"/>
      <c r="AN24" s="672"/>
      <c r="AO24" s="672"/>
      <c r="AP24" s="672"/>
      <c r="AQ24" s="672"/>
    </row>
    <row r="25" spans="1:46" s="5" customFormat="1" ht="79.900000000000006" customHeight="1" x14ac:dyDescent="0.25">
      <c r="B25" s="1114"/>
      <c r="C25" s="1115"/>
      <c r="D25" s="1122"/>
      <c r="E25" s="1122"/>
      <c r="F25" s="1122"/>
      <c r="G25" s="1122"/>
      <c r="H25" s="1124"/>
      <c r="I25"/>
      <c r="Q25" s="1114"/>
      <c r="R25" s="1115"/>
      <c r="S25" s="1122"/>
      <c r="T25" s="1122"/>
      <c r="U25" s="1122"/>
      <c r="V25" s="1122"/>
      <c r="W25" s="1124"/>
      <c r="X25"/>
      <c r="AF25" s="1114"/>
      <c r="AG25" s="1115"/>
      <c r="AH25" s="179"/>
      <c r="AI25" s="179"/>
      <c r="AJ25" s="179"/>
      <c r="AK25" s="179"/>
      <c r="AL25" s="180"/>
      <c r="AM25" s="676"/>
      <c r="AN25" s="676"/>
      <c r="AO25" s="676"/>
      <c r="AP25" s="676"/>
      <c r="AQ25" s="676"/>
    </row>
    <row r="26" spans="1:46" s="5" customFormat="1" ht="199.9" customHeight="1" x14ac:dyDescent="0.25">
      <c r="B26" s="1104" t="s">
        <v>952</v>
      </c>
      <c r="C26" s="149" t="s">
        <v>246</v>
      </c>
      <c r="D26" s="143" cm="1">
        <f t="array" ref="D26">SUMPRODUCT(ISNUMBER(SEARCH('16 Water Heating Costs'!$E$42:$AE$42,'16 Water Heating Costs'!F10)) *'16 Water Heating Costs'!$E$54:$AE$54)</f>
        <v>0</v>
      </c>
      <c r="E26" s="143" cm="1">
        <f t="array" ref="E26">SUMPRODUCT(ISNUMBER(SEARCH('16 Water Heating Costs'!$E$42:$AE$42,'16 Water Heating Costs'!G10)) *'16 Water Heating Costs'!$E$54:$AE$54)</f>
        <v>1293.1666626070937</v>
      </c>
      <c r="F26" s="143" cm="1">
        <f t="array" ref="F26">SUMPRODUCT(ISNUMBER(SEARCH('16 Water Heating Costs'!$E$42:$AE$42,'16 Water Heating Costs'!H10)) *'16 Water Heating Costs'!$E$54:$AE$54)</f>
        <v>1293.1666626070937</v>
      </c>
      <c r="G26" s="143" cm="1">
        <f t="array" ref="G26">SUMPRODUCT(ISNUMBER(SEARCH('16 Water Heating Costs'!$E$42:$AE$42,'16 Water Heating Costs'!I10)) *'16 Water Heating Costs'!$E$54:$AE$54)</f>
        <v>1293.1666626070937</v>
      </c>
      <c r="H26" s="150" cm="1">
        <f t="array" ref="H26">SUMPRODUCT(ISNUMBER(SEARCH('16 Water Heating Costs'!$E$42:$AE$42,'16 Water Heating Costs'!J10)) *'16 Water Heating Costs'!$E$54:$AE$54)</f>
        <v>1031.7203015031764</v>
      </c>
      <c r="I26"/>
      <c r="Q26" s="1104" t="s">
        <v>952</v>
      </c>
      <c r="R26" s="149" t="s">
        <v>246</v>
      </c>
      <c r="S26" s="143" cm="1">
        <f t="array" ref="S26">SUMPRODUCT(ISNUMBER(SEARCH('16 Water Heating Costs'!$E$42:$AE$42,'16 Water Heating Costs'!N10)) *'16 Water Heating Costs'!$E$54:$AE$54)</f>
        <v>0</v>
      </c>
      <c r="T26" s="143" cm="1">
        <f t="array" ref="T26">SUMPRODUCT(ISNUMBER(SEARCH('16 Water Heating Costs'!$E$42:$AE$42,'16 Water Heating Costs'!O10)) *'16 Water Heating Costs'!$E$54:$AE$54)</f>
        <v>1293.1666626070937</v>
      </c>
      <c r="U26" s="143" cm="1">
        <f t="array" ref="U26">SUMPRODUCT(ISNUMBER(SEARCH('16 Water Heating Costs'!$E$42:$AE$42,'16 Water Heating Costs'!P10)) *'16 Water Heating Costs'!$E$54:$AE$54)</f>
        <v>1293.1666626070937</v>
      </c>
      <c r="V26" s="143" cm="1">
        <f t="array" ref="V26">SUMPRODUCT(ISNUMBER(SEARCH('16 Water Heating Costs'!$E$42:$AE$42,'16 Water Heating Costs'!Q10)) *'16 Water Heating Costs'!$E$54:$AE$54)</f>
        <v>1293.1666626070937</v>
      </c>
      <c r="W26" s="150" cm="1">
        <f t="array" ref="W26">SUMPRODUCT(ISNUMBER(SEARCH('16 Water Heating Costs'!$E$42:$AE$42,'16 Water Heating Costs'!R10)) *'16 Water Heating Costs'!$E$54:$AE$54)</f>
        <v>1031.7203015031764</v>
      </c>
      <c r="X26"/>
      <c r="AF26" s="1104" t="s">
        <v>952</v>
      </c>
      <c r="AG26" s="149" t="s">
        <v>246</v>
      </c>
      <c r="AH26" s="143" cm="1">
        <f t="array" ref="AH26">SUMPRODUCT(ISNUMBER(SEARCH('16 Water Heating Costs'!$E$42:$AE$42,'16 Water Heating Costs'!V10)) *'16 Water Heating Costs'!$E$54:$AE$54)</f>
        <v>0</v>
      </c>
      <c r="AI26" s="143" cm="1">
        <f t="array" ref="AI26">SUMPRODUCT(ISNUMBER(SEARCH('16 Water Heating Costs'!$E$42:$AE$42,'16 Water Heating Costs'!W10)) *'16 Water Heating Costs'!$E$54:$AE$54)</f>
        <v>1293.1666626070937</v>
      </c>
      <c r="AJ26" s="143" cm="1">
        <f t="array" ref="AJ26">SUMPRODUCT(ISNUMBER(SEARCH('16 Water Heating Costs'!$E$42:$AE$42,'16 Water Heating Costs'!X10)) *'16 Water Heating Costs'!$E$54:$AE$54)</f>
        <v>1293.1666626070937</v>
      </c>
      <c r="AK26" s="143" cm="1">
        <f t="array" ref="AK26">SUMPRODUCT(ISNUMBER(SEARCH('16 Water Heating Costs'!$E$42:$AE$42,'16 Water Heating Costs'!Y10)) *'16 Water Heating Costs'!$E$54:$AE$54)</f>
        <v>1293.1666626070937</v>
      </c>
      <c r="AL26" s="150" cm="1">
        <f t="array" ref="AL26">SUMPRODUCT(ISNUMBER(SEARCH('16 Water Heating Costs'!$E$42:$AE$42,'16 Water Heating Costs'!Z10)) *'16 Water Heating Costs'!$E$54:$AE$54)</f>
        <v>1031.7203015031764</v>
      </c>
      <c r="AM26" s="681"/>
      <c r="AN26" s="681"/>
      <c r="AO26" s="681"/>
      <c r="AP26" s="681"/>
      <c r="AQ26" s="681"/>
    </row>
    <row r="27" spans="1:46" s="5" customFormat="1" ht="199.9" customHeight="1" x14ac:dyDescent="0.25">
      <c r="B27" s="1105"/>
      <c r="C27" s="152" t="s">
        <v>244</v>
      </c>
      <c r="D27" s="687"/>
      <c r="E27" s="687"/>
      <c r="F27" s="687"/>
      <c r="G27" s="687"/>
      <c r="H27" s="689"/>
      <c r="I27"/>
      <c r="Q27" s="1105"/>
      <c r="R27" s="152" t="s">
        <v>244</v>
      </c>
      <c r="S27" s="687"/>
      <c r="T27" s="687"/>
      <c r="U27" s="687"/>
      <c r="V27" s="687"/>
      <c r="W27" s="689"/>
      <c r="X27"/>
      <c r="AF27" s="1119"/>
      <c r="AG27" s="152" t="s">
        <v>244</v>
      </c>
      <c r="AH27" s="687"/>
      <c r="AI27" s="687"/>
      <c r="AJ27" s="687"/>
      <c r="AK27" s="687"/>
      <c r="AL27" s="689"/>
      <c r="AM27" s="681"/>
      <c r="AN27" s="681"/>
      <c r="AO27" s="681"/>
      <c r="AP27" s="681"/>
      <c r="AQ27" s="681"/>
    </row>
    <row r="28" spans="1:46" s="5" customFormat="1" ht="199.9" customHeight="1" x14ac:dyDescent="0.25">
      <c r="B28" s="1105"/>
      <c r="C28" s="152" t="s">
        <v>86</v>
      </c>
      <c r="D28" s="143" cm="1">
        <f t="array" ref="D28">SUMPRODUCT(ISNUMBER(SEARCH('16 Water Heating Costs'!$E$42:$AE$42,'16 Water Heating Costs'!F12)) *'16 Water Heating Costs'!$E$54:$AE$54)</f>
        <v>4013.5758895811709</v>
      </c>
      <c r="E28" s="143" cm="1">
        <f t="array" ref="E28">SUMPRODUCT(ISNUMBER(SEARCH('16 Water Heating Costs'!$E$42:$AE$42,'16 Water Heating Costs'!G12)) *'16 Water Heating Costs'!$E$54:$AE$54)</f>
        <v>3400.1446434034192</v>
      </c>
      <c r="F28" s="143" cm="1">
        <f t="array" ref="F28">SUMPRODUCT(ISNUMBER(SEARCH('16 Water Heating Costs'!$E$42:$AE$42,'16 Water Heating Costs'!H12)) *'16 Water Heating Costs'!$E$54:$AE$54)</f>
        <v>2473.3347312062033</v>
      </c>
      <c r="G28" s="143" cm="1">
        <f t="array" ref="G28">SUMPRODUCT(ISNUMBER(SEARCH('16 Water Heating Costs'!$E$42:$AE$42,'16 Water Heating Costs'!I12)) *'16 Water Heating Costs'!$E$54:$AE$54)</f>
        <v>3400.1446434034192</v>
      </c>
      <c r="H28" s="150" cm="1">
        <f t="array" ref="H28">SUMPRODUCT(ISNUMBER(SEARCH('16 Water Heating Costs'!$E$42:$AE$42,'16 Water Heating Costs'!J12)) *'16 Water Heating Costs'!$E$54:$AE$54)</f>
        <v>4013.5758895811709</v>
      </c>
      <c r="I28"/>
      <c r="Q28" s="1105"/>
      <c r="R28" s="152" t="s">
        <v>86</v>
      </c>
      <c r="S28" s="143" cm="1">
        <f t="array" ref="S28">SUMPRODUCT(ISNUMBER(SEARCH('16 Water Heating Costs'!$E$42:$AE$42,'16 Water Heating Costs'!N12)) *'16 Water Heating Costs'!$E$54:$AE$54)</f>
        <v>4898.1720431360409</v>
      </c>
      <c r="T28" s="143" cm="1">
        <f t="array" ref="T28">SUMPRODUCT(ISNUMBER(SEARCH('16 Water Heating Costs'!$E$42:$AE$42,'16 Water Heating Costs'!O12)) *'16 Water Heating Costs'!$E$54:$AE$54)</f>
        <v>4284.7407969582891</v>
      </c>
      <c r="U28" s="143" cm="1">
        <f t="array" ref="U28">SUMPRODUCT(ISNUMBER(SEARCH('16 Water Heating Costs'!$E$42:$AE$42,'16 Water Heating Costs'!P12)) *'16 Water Heating Costs'!$E$54:$AE$54)</f>
        <v>3357.9308847610732</v>
      </c>
      <c r="V28" s="143" cm="1">
        <f t="array" ref="V28">SUMPRODUCT(ISNUMBER(SEARCH('16 Water Heating Costs'!$E$42:$AE$42,'16 Water Heating Costs'!Q12)) *'16 Water Heating Costs'!$E$54:$AE$54)</f>
        <v>4284.7407969582891</v>
      </c>
      <c r="W28" s="150" cm="1">
        <f t="array" ref="W28">SUMPRODUCT(ISNUMBER(SEARCH('16 Water Heating Costs'!$E$42:$AE$42,'16 Water Heating Costs'!R12)) *'16 Water Heating Costs'!$E$54:$AE$54)</f>
        <v>4898.1720431360409</v>
      </c>
      <c r="X28"/>
      <c r="AF28" s="1119"/>
      <c r="AG28" s="152" t="s">
        <v>86</v>
      </c>
      <c r="AH28" s="143" cm="1">
        <f t="array" ref="AH28">SUMPRODUCT(ISNUMBER(SEARCH('16 Water Heating Costs'!$E$42:$AE$42,'16 Water Heating Costs'!V12)) *'16 Water Heating Costs'!$E$54:$AE$54)</f>
        <v>3587.534871795061</v>
      </c>
      <c r="AI28" s="143" cm="1">
        <f t="array" ref="AI28">SUMPRODUCT(ISNUMBER(SEARCH('16 Water Heating Costs'!$E$42:$AE$42,'16 Water Heating Costs'!W12)) *'16 Water Heating Costs'!$E$54:$AE$54)</f>
        <v>2974.1036256173093</v>
      </c>
      <c r="AJ28" s="143" cm="1">
        <f t="array" ref="AJ28">SUMPRODUCT(ISNUMBER(SEARCH('16 Water Heating Costs'!$E$42:$AE$42,'16 Water Heating Costs'!X12)) *'16 Water Heating Costs'!$E$54:$AE$54)</f>
        <v>2047.2937134200931</v>
      </c>
      <c r="AK28" s="143" cm="1">
        <f t="array" ref="AK28">SUMPRODUCT(ISNUMBER(SEARCH('16 Water Heating Costs'!$E$42:$AE$42,'16 Water Heating Costs'!Y12)) *'16 Water Heating Costs'!$E$54:$AE$54)</f>
        <v>2974.1036256173093</v>
      </c>
      <c r="AL28" s="150" cm="1">
        <f t="array" ref="AL28">SUMPRODUCT(ISNUMBER(SEARCH('16 Water Heating Costs'!$E$42:$AE$42,'16 Water Heating Costs'!Z12)) *'16 Water Heating Costs'!$E$54:$AE$54)</f>
        <v>3587.534871795061</v>
      </c>
      <c r="AM28" s="681"/>
      <c r="AN28" s="681"/>
      <c r="AO28" s="681"/>
      <c r="AP28" s="681"/>
      <c r="AQ28" s="681"/>
    </row>
    <row r="29" spans="1:46" s="5" customFormat="1" ht="199.9" customHeight="1" x14ac:dyDescent="0.25">
      <c r="B29" s="1105"/>
      <c r="C29" s="152" t="s">
        <v>242</v>
      </c>
      <c r="D29" s="143" cm="1">
        <f t="array" ref="D29">SUMPRODUCT(ISNUMBER(SEARCH('16 Water Heating Costs'!$E$42:$AE$42,'16 Water Heating Costs'!F13)) *'16 Water Heating Costs'!$E$54:$AE$54)</f>
        <v>4013.5758895811709</v>
      </c>
      <c r="E29" s="143" cm="1">
        <f t="array" ref="E29">SUMPRODUCT(ISNUMBER(SEARCH('16 Water Heating Costs'!$E$42:$AE$42,'16 Water Heating Costs'!G13)) *'16 Water Heating Costs'!$E$54:$AE$54)</f>
        <v>3400.1446434034192</v>
      </c>
      <c r="F29" s="143" cm="1">
        <f t="array" ref="F29">SUMPRODUCT(ISNUMBER(SEARCH('16 Water Heating Costs'!$E$42:$AE$42,'16 Water Heating Costs'!H13)) *'16 Water Heating Costs'!$E$54:$AE$54)</f>
        <v>3400.1446434034192</v>
      </c>
      <c r="G29" s="143" cm="1">
        <f t="array" ref="G29">SUMPRODUCT(ISNUMBER(SEARCH('16 Water Heating Costs'!$E$42:$AE$42,'16 Water Heating Costs'!I13)) *'16 Water Heating Costs'!$E$54:$AE$54)</f>
        <v>2473.3347312062033</v>
      </c>
      <c r="H29" s="150" cm="1">
        <f t="array" ref="H29">SUMPRODUCT(ISNUMBER(SEARCH('16 Water Heating Costs'!$E$42:$AE$42,'16 Water Heating Costs'!J13)) *'16 Water Heating Costs'!$E$54:$AE$54)</f>
        <v>4013.5758895811709</v>
      </c>
      <c r="I29"/>
      <c r="Q29" s="1105"/>
      <c r="R29" s="152" t="s">
        <v>242</v>
      </c>
      <c r="S29" s="143" cm="1">
        <f t="array" ref="S29">SUMPRODUCT(ISNUMBER(SEARCH('16 Water Heating Costs'!$E$42:$AE$42,'16 Water Heating Costs'!N13)) *'16 Water Heating Costs'!$E$54:$AE$54)</f>
        <v>4898.1720431360409</v>
      </c>
      <c r="T29" s="143" cm="1">
        <f t="array" ref="T29">SUMPRODUCT(ISNUMBER(SEARCH('16 Water Heating Costs'!$E$42:$AE$42,'16 Water Heating Costs'!O13)) *'16 Water Heating Costs'!$E$54:$AE$54)</f>
        <v>4284.7407969582891</v>
      </c>
      <c r="U29" s="143" cm="1">
        <f t="array" ref="U29">SUMPRODUCT(ISNUMBER(SEARCH('16 Water Heating Costs'!$E$42:$AE$42,'16 Water Heating Costs'!P13)) *'16 Water Heating Costs'!$E$54:$AE$54)</f>
        <v>4284.7407969582891</v>
      </c>
      <c r="V29" s="143" cm="1">
        <f t="array" ref="V29">SUMPRODUCT(ISNUMBER(SEARCH('16 Water Heating Costs'!$E$42:$AE$42,'16 Water Heating Costs'!Q13)) *'16 Water Heating Costs'!$E$54:$AE$54)</f>
        <v>3357.9308847610732</v>
      </c>
      <c r="W29" s="150" cm="1">
        <f t="array" ref="W29">SUMPRODUCT(ISNUMBER(SEARCH('16 Water Heating Costs'!$E$42:$AE$42,'16 Water Heating Costs'!R13)) *'16 Water Heating Costs'!$E$54:$AE$54)</f>
        <v>4898.1720431360409</v>
      </c>
      <c r="X29"/>
      <c r="AF29" s="1119"/>
      <c r="AG29" s="152" t="s">
        <v>242</v>
      </c>
      <c r="AH29" s="143" cm="1">
        <f t="array" ref="AH29">SUMPRODUCT(ISNUMBER(SEARCH('16 Water Heating Costs'!$E$42:$AE$42,'16 Water Heating Costs'!V13)) *'16 Water Heating Costs'!$E$54:$AE$54)</f>
        <v>3587.534871795061</v>
      </c>
      <c r="AI29" s="143" cm="1">
        <f t="array" ref="AI29">SUMPRODUCT(ISNUMBER(SEARCH('16 Water Heating Costs'!$E$42:$AE$42,'16 Water Heating Costs'!W13)) *'16 Water Heating Costs'!$E$54:$AE$54)</f>
        <v>2974.1036256173093</v>
      </c>
      <c r="AJ29" s="143" cm="1">
        <f t="array" ref="AJ29">SUMPRODUCT(ISNUMBER(SEARCH('16 Water Heating Costs'!$E$42:$AE$42,'16 Water Heating Costs'!X13)) *'16 Water Heating Costs'!$E$54:$AE$54)</f>
        <v>2974.1036256173093</v>
      </c>
      <c r="AK29" s="143" cm="1">
        <f t="array" ref="AK29">SUMPRODUCT(ISNUMBER(SEARCH('16 Water Heating Costs'!$E$42:$AE$42,'16 Water Heating Costs'!Y13)) *'16 Water Heating Costs'!$E$54:$AE$54)</f>
        <v>2047.2937134200931</v>
      </c>
      <c r="AL29" s="150" cm="1">
        <f t="array" ref="AL29">SUMPRODUCT(ISNUMBER(SEARCH('16 Water Heating Costs'!$E$42:$AE$42,'16 Water Heating Costs'!Z13)) *'16 Water Heating Costs'!$E$54:$AE$54)</f>
        <v>3587.534871795061</v>
      </c>
      <c r="AM29" s="681"/>
      <c r="AN29" s="681"/>
      <c r="AO29" s="681"/>
      <c r="AP29" s="681"/>
      <c r="AQ29" s="681"/>
    </row>
    <row r="30" spans="1:46" s="5" customFormat="1" ht="199.9" customHeight="1" thickBot="1" x14ac:dyDescent="0.3">
      <c r="B30" s="1106"/>
      <c r="C30" s="153" t="s">
        <v>172</v>
      </c>
      <c r="D30" s="690"/>
      <c r="E30" s="690"/>
      <c r="F30" s="690"/>
      <c r="G30" s="690"/>
      <c r="H30" s="688"/>
      <c r="I30"/>
      <c r="Q30" s="1106"/>
      <c r="R30" s="153" t="s">
        <v>172</v>
      </c>
      <c r="S30" s="690"/>
      <c r="T30" s="690"/>
      <c r="U30" s="690"/>
      <c r="V30" s="690"/>
      <c r="W30" s="688"/>
      <c r="X30"/>
      <c r="AF30" s="1120"/>
      <c r="AG30" s="153" t="s">
        <v>172</v>
      </c>
      <c r="AH30" s="690"/>
      <c r="AI30" s="690"/>
      <c r="AJ30" s="690"/>
      <c r="AK30" s="690"/>
      <c r="AL30" s="688"/>
      <c r="AM30" s="681"/>
      <c r="AN30" s="681"/>
      <c r="AO30" s="681"/>
      <c r="AP30" s="681"/>
      <c r="AQ30" s="681"/>
    </row>
    <row r="31" spans="1:46" s="59" customFormat="1" ht="80.099999999999994" customHeight="1" thickBot="1" x14ac:dyDescent="0.3">
      <c r="A31" s="154"/>
      <c r="B31"/>
      <c r="C31"/>
      <c r="D31"/>
      <c r="E31"/>
      <c r="F31"/>
      <c r="G31"/>
      <c r="H31"/>
      <c r="I31"/>
      <c r="J31" s="5"/>
      <c r="K31" s="5"/>
      <c r="L31" s="5"/>
      <c r="M31" s="5"/>
      <c r="N31" s="5"/>
      <c r="O31" s="5"/>
      <c r="P31" s="5"/>
      <c r="Q31"/>
      <c r="R31"/>
      <c r="S31"/>
      <c r="T31"/>
      <c r="U31"/>
      <c r="V31"/>
      <c r="W31"/>
      <c r="X31"/>
      <c r="Y31" s="5"/>
      <c r="Z31" s="5"/>
      <c r="AA31" s="5"/>
      <c r="AB31" s="5"/>
      <c r="AC31" s="5"/>
      <c r="AD31" s="5"/>
      <c r="AE31" s="5"/>
      <c r="AF31"/>
      <c r="AG31"/>
      <c r="AH31"/>
      <c r="AI31"/>
      <c r="AJ31"/>
      <c r="AK31"/>
      <c r="AL31"/>
    </row>
    <row r="32" spans="1:46" ht="175.15" customHeight="1" x14ac:dyDescent="0.25">
      <c r="A32" s="60"/>
      <c r="B32" s="1107" t="s">
        <v>1073</v>
      </c>
      <c r="C32" s="1108"/>
      <c r="D32" s="1108"/>
      <c r="E32" s="1108"/>
      <c r="F32" s="1108"/>
      <c r="G32" s="1108"/>
      <c r="H32" s="1109"/>
      <c r="I32"/>
      <c r="P32" s="5"/>
      <c r="Q32" s="1107" t="s">
        <v>1072</v>
      </c>
      <c r="R32" s="1108"/>
      <c r="S32" s="1108"/>
      <c r="T32" s="1108"/>
      <c r="U32" s="1108"/>
      <c r="V32" s="1108"/>
      <c r="W32" s="1109"/>
      <c r="X32"/>
      <c r="Y32" s="5"/>
      <c r="Z32" s="5"/>
      <c r="AA32" s="5"/>
      <c r="AB32" s="5"/>
      <c r="AC32" s="5"/>
      <c r="AD32" s="5"/>
      <c r="AE32" s="5"/>
      <c r="AF32" s="1107" t="s">
        <v>1076</v>
      </c>
      <c r="AG32" s="1108"/>
      <c r="AH32" s="1108"/>
      <c r="AI32" s="1108"/>
      <c r="AJ32" s="1108"/>
      <c r="AK32" s="1108"/>
      <c r="AL32" s="1109"/>
    </row>
    <row r="33" spans="1:38" ht="79.900000000000006" customHeight="1" x14ac:dyDescent="0.25">
      <c r="A33" s="60"/>
      <c r="B33" s="1110" t="s">
        <v>977</v>
      </c>
      <c r="C33" s="1111"/>
      <c r="D33" s="1116" t="s">
        <v>951</v>
      </c>
      <c r="E33" s="1117"/>
      <c r="F33" s="1117"/>
      <c r="G33" s="1117"/>
      <c r="H33" s="1118"/>
      <c r="I33"/>
      <c r="P33" s="5"/>
      <c r="Q33" s="1110" t="s">
        <v>977</v>
      </c>
      <c r="R33" s="1111"/>
      <c r="S33" s="1116" t="s">
        <v>951</v>
      </c>
      <c r="T33" s="1117"/>
      <c r="U33" s="1117"/>
      <c r="V33" s="1117"/>
      <c r="W33" s="1118"/>
      <c r="X33"/>
      <c r="Y33" s="5"/>
      <c r="Z33" s="5"/>
      <c r="AA33" s="5"/>
      <c r="AB33" s="5"/>
      <c r="AC33" s="5"/>
      <c r="AD33" s="5"/>
      <c r="AE33" s="5"/>
      <c r="AF33" s="1110" t="s">
        <v>977</v>
      </c>
      <c r="AG33" s="1111"/>
      <c r="AH33" s="1116" t="s">
        <v>951</v>
      </c>
      <c r="AI33" s="1117"/>
      <c r="AJ33" s="1117"/>
      <c r="AK33" s="1117"/>
      <c r="AL33" s="1118"/>
    </row>
    <row r="34" spans="1:38" ht="79.900000000000006" customHeight="1" x14ac:dyDescent="0.25">
      <c r="A34" s="60"/>
      <c r="B34" s="1112"/>
      <c r="C34" s="1113"/>
      <c r="D34" s="1121" t="s">
        <v>246</v>
      </c>
      <c r="E34" s="1121" t="s">
        <v>244</v>
      </c>
      <c r="F34" s="1121" t="s">
        <v>86</v>
      </c>
      <c r="G34" s="1121" t="s">
        <v>242</v>
      </c>
      <c r="H34" s="1123" t="s">
        <v>172</v>
      </c>
      <c r="I34"/>
      <c r="P34" s="5"/>
      <c r="Q34" s="1112"/>
      <c r="R34" s="1113"/>
      <c r="S34" s="1121" t="s">
        <v>246</v>
      </c>
      <c r="T34" s="1121" t="s">
        <v>244</v>
      </c>
      <c r="U34" s="1121" t="s">
        <v>86</v>
      </c>
      <c r="V34" s="1121" t="s">
        <v>242</v>
      </c>
      <c r="W34" s="1123" t="s">
        <v>172</v>
      </c>
      <c r="X34"/>
      <c r="Y34" s="5"/>
      <c r="Z34" s="5"/>
      <c r="AA34" s="5"/>
      <c r="AB34" s="5"/>
      <c r="AC34" s="5"/>
      <c r="AD34" s="5"/>
      <c r="AE34" s="5"/>
      <c r="AF34" s="1112"/>
      <c r="AG34" s="1113"/>
      <c r="AH34" s="668" t="s">
        <v>246</v>
      </c>
      <c r="AI34" s="668" t="s">
        <v>244</v>
      </c>
      <c r="AJ34" s="668" t="s">
        <v>86</v>
      </c>
      <c r="AK34" s="668" t="s">
        <v>242</v>
      </c>
      <c r="AL34" s="677" t="s">
        <v>172</v>
      </c>
    </row>
    <row r="35" spans="1:38" ht="79.900000000000006" customHeight="1" x14ac:dyDescent="0.25">
      <c r="A35" s="60"/>
      <c r="B35" s="1114"/>
      <c r="C35" s="1115"/>
      <c r="D35" s="1122"/>
      <c r="E35" s="1122"/>
      <c r="F35" s="1122"/>
      <c r="G35" s="1122"/>
      <c r="H35" s="1124"/>
      <c r="I35"/>
      <c r="P35" s="5"/>
      <c r="Q35" s="1114"/>
      <c r="R35" s="1115"/>
      <c r="S35" s="1122"/>
      <c r="T35" s="1122"/>
      <c r="U35" s="1122"/>
      <c r="V35" s="1122"/>
      <c r="W35" s="1124"/>
      <c r="X35"/>
      <c r="Y35" s="5"/>
      <c r="Z35" s="5"/>
      <c r="AA35" s="5"/>
      <c r="AB35" s="5"/>
      <c r="AC35" s="5"/>
      <c r="AD35" s="5"/>
      <c r="AE35" s="5"/>
      <c r="AF35" s="1114"/>
      <c r="AG35" s="1115"/>
      <c r="AH35" s="179"/>
      <c r="AI35" s="179"/>
      <c r="AJ35" s="179"/>
      <c r="AK35" s="179"/>
      <c r="AL35" s="180"/>
    </row>
    <row r="36" spans="1:38" ht="199.9" customHeight="1" x14ac:dyDescent="0.25">
      <c r="A36" s="60"/>
      <c r="B36" s="1104" t="s">
        <v>989</v>
      </c>
      <c r="C36" s="149" t="s">
        <v>246</v>
      </c>
      <c r="D36" s="687"/>
      <c r="E36" s="143" cm="1">
        <f t="array" ref="E36">SUMPRODUCT(ISNUMBER(SEARCH('16 Water Heating Costs'!$E$42:$AE$42,'16 Water Heating Costs'!G22)) *'16 Water Heating Costs'!$E$54:$AE$54)</f>
        <v>1293.1666626070937</v>
      </c>
      <c r="F36" s="143" cm="1">
        <f t="array" ref="F36">SUMPRODUCT(ISNUMBER(SEARCH('16 Water Heating Costs'!$E$42:$AE$42,'16 Water Heating Costs'!H22)) *'16 Water Heating Costs'!$E$54:$AE$54)</f>
        <v>1293.1666626070937</v>
      </c>
      <c r="G36" s="143" cm="1">
        <f t="array" ref="G36">SUMPRODUCT(ISNUMBER(SEARCH('16 Water Heating Costs'!$E$42:$AE$42,'16 Water Heating Costs'!I22)) *'16 Water Heating Costs'!$E$54:$AE$54)</f>
        <v>1293.1666626070937</v>
      </c>
      <c r="H36" s="150" cm="1">
        <f t="array" ref="H36">SUMPRODUCT(ISNUMBER(SEARCH('16 Water Heating Costs'!$E$42:$AE$42,'16 Water Heating Costs'!J22)) *'16 Water Heating Costs'!$E$54:$AE$54)</f>
        <v>1031.7203015031764</v>
      </c>
      <c r="I36"/>
      <c r="P36" s="5"/>
      <c r="Q36" s="1104" t="s">
        <v>989</v>
      </c>
      <c r="R36" s="149" t="s">
        <v>246</v>
      </c>
      <c r="S36" s="687"/>
      <c r="T36" s="143" cm="1">
        <f t="array" ref="T36">SUMPRODUCT(ISNUMBER(SEARCH('16 Water Heating Costs'!$E$42:$AE$42,'16 Water Heating Costs'!O22)) *'16 Water Heating Costs'!$E$54:$AE$54)</f>
        <v>1293.1666626070937</v>
      </c>
      <c r="U36" s="143" cm="1">
        <f t="array" ref="U36">SUMPRODUCT(ISNUMBER(SEARCH('16 Water Heating Costs'!$E$42:$AE$42,'16 Water Heating Costs'!P22)) *'16 Water Heating Costs'!$E$54:$AE$54)</f>
        <v>1293.1666626070937</v>
      </c>
      <c r="V36" s="143" cm="1">
        <f t="array" ref="V36">SUMPRODUCT(ISNUMBER(SEARCH('16 Water Heating Costs'!$E$42:$AE$42,'16 Water Heating Costs'!Q22)) *'16 Water Heating Costs'!$E$54:$AE$54)</f>
        <v>1293.1666626070937</v>
      </c>
      <c r="W36" s="150" cm="1">
        <f t="array" ref="W36">SUMPRODUCT(ISNUMBER(SEARCH('16 Water Heating Costs'!$E$42:$AE$42,'16 Water Heating Costs'!R22)) *'16 Water Heating Costs'!$E$54:$AE$54)</f>
        <v>1031.7203015031764</v>
      </c>
      <c r="X36"/>
      <c r="Y36" s="5"/>
      <c r="Z36" s="5"/>
      <c r="AA36" s="5"/>
      <c r="AB36" s="5"/>
      <c r="AC36" s="5"/>
      <c r="AD36" s="5"/>
      <c r="AE36" s="5"/>
      <c r="AF36" s="1104" t="s">
        <v>989</v>
      </c>
      <c r="AG36" s="149" t="s">
        <v>246</v>
      </c>
      <c r="AH36" s="687"/>
      <c r="AI36" s="143" cm="1">
        <f t="array" ref="AI36">SUMPRODUCT(ISNUMBER(SEARCH('16 Water Heating Costs'!$E$42:$AE$42,'16 Water Heating Costs'!W22)) *'16 Water Heating Costs'!$E$54:$AE$54)</f>
        <v>1293.1666626070937</v>
      </c>
      <c r="AJ36" s="143" cm="1">
        <f t="array" ref="AJ36">SUMPRODUCT(ISNUMBER(SEARCH('16 Water Heating Costs'!$E$42:$AE$42,'16 Water Heating Costs'!X22)) *'16 Water Heating Costs'!$E$54:$AE$54)</f>
        <v>1293.1666626070937</v>
      </c>
      <c r="AK36" s="143" cm="1">
        <f t="array" ref="AK36">SUMPRODUCT(ISNUMBER(SEARCH('16 Water Heating Costs'!$E$42:$AE$42,'16 Water Heating Costs'!Y22)) *'16 Water Heating Costs'!$E$54:$AE$54)</f>
        <v>1293.1666626070937</v>
      </c>
      <c r="AL36" s="150" cm="1">
        <f t="array" ref="AL36">SUMPRODUCT(ISNUMBER(SEARCH('16 Water Heating Costs'!$E$42:$AE$42,'16 Water Heating Costs'!Z22)) *'16 Water Heating Costs'!$E$54:$AE$54)</f>
        <v>1031.7203015031764</v>
      </c>
    </row>
    <row r="37" spans="1:38" ht="199.9" customHeight="1" x14ac:dyDescent="0.25">
      <c r="A37" s="60"/>
      <c r="B37" s="1105"/>
      <c r="C37" s="152" t="s">
        <v>244</v>
      </c>
      <c r="D37" s="143" cm="1">
        <f t="array" ref="D37">SUMPRODUCT(ISNUMBER(SEARCH('16 Water Heating Costs'!$E$42:$AE$42,'16 Water Heating Costs'!F23)) *'16 Water Heating Costs'!$E$54:$AE$54)</f>
        <v>1402.9330931320687</v>
      </c>
      <c r="E37" s="687"/>
      <c r="F37" s="143" cm="1">
        <f t="array" ref="F37">SUMPRODUCT(ISNUMBER(SEARCH('16 Water Heating Costs'!$E$42:$AE$42,'16 Water Heating Costs'!H23)) *'16 Water Heating Costs'!$E$54:$AE$54)</f>
        <v>789.50184695431687</v>
      </c>
      <c r="G37" s="143" cm="1">
        <f t="array" ref="G37">SUMPRODUCT(ISNUMBER(SEARCH('16 Water Heating Costs'!$E$42:$AE$42,'16 Water Heating Costs'!I23)) *'16 Water Heating Costs'!$E$54:$AE$54)</f>
        <v>789.50184695431687</v>
      </c>
      <c r="H37" s="150" cm="1">
        <f t="array" ref="H37">SUMPRODUCT(ISNUMBER(SEARCH('16 Water Heating Costs'!$E$42:$AE$42,'16 Water Heating Costs'!J23)) *'16 Water Heating Costs'!$E$54:$AE$54)</f>
        <v>1402.9330931320687</v>
      </c>
      <c r="I37"/>
      <c r="P37" s="5"/>
      <c r="Q37" s="1105"/>
      <c r="R37" s="152" t="s">
        <v>244</v>
      </c>
      <c r="S37" s="143" cm="1">
        <f t="array" ref="S37">SUMPRODUCT(ISNUMBER(SEARCH('16 Water Heating Costs'!$E$42:$AE$42,'16 Water Heating Costs'!N23)) *'16 Water Heating Costs'!$E$54:$AE$54)</f>
        <v>1402.9330931320687</v>
      </c>
      <c r="T37" s="687"/>
      <c r="U37" s="143" cm="1">
        <f t="array" ref="U37">SUMPRODUCT(ISNUMBER(SEARCH('16 Water Heating Costs'!$E$42:$AE$42,'16 Water Heating Costs'!P23)) *'16 Water Heating Costs'!$E$54:$AE$54)</f>
        <v>789.50184695431687</v>
      </c>
      <c r="V37" s="143" cm="1">
        <f t="array" ref="V37">SUMPRODUCT(ISNUMBER(SEARCH('16 Water Heating Costs'!$E$42:$AE$42,'16 Water Heating Costs'!Q23)) *'16 Water Heating Costs'!$E$54:$AE$54)</f>
        <v>789.50184695431687</v>
      </c>
      <c r="W37" s="150" cm="1">
        <f t="array" ref="W37">SUMPRODUCT(ISNUMBER(SEARCH('16 Water Heating Costs'!$E$42:$AE$42,'16 Water Heating Costs'!R23)) *'16 Water Heating Costs'!$E$54:$AE$54)</f>
        <v>1402.9330931320687</v>
      </c>
      <c r="X37"/>
      <c r="Y37" s="5"/>
      <c r="Z37" s="5"/>
      <c r="AA37" s="5"/>
      <c r="AB37" s="5"/>
      <c r="AC37" s="5"/>
      <c r="AD37" s="5"/>
      <c r="AE37" s="5"/>
      <c r="AF37" s="1119"/>
      <c r="AG37" s="152" t="s">
        <v>244</v>
      </c>
      <c r="AH37" s="143" cm="1">
        <f t="array" ref="AH37">SUMPRODUCT(ISNUMBER(SEARCH('16 Water Heating Costs'!$E$42:$AE$42,'16 Water Heating Costs'!V23)) *'16 Water Heating Costs'!$E$54:$AE$54)</f>
        <v>1402.9330931320687</v>
      </c>
      <c r="AI37" s="687"/>
      <c r="AJ37" s="143" cm="1">
        <f t="array" ref="AJ37">SUMPRODUCT(ISNUMBER(SEARCH('16 Water Heating Costs'!$E$42:$AE$42,'16 Water Heating Costs'!X23)) *'16 Water Heating Costs'!$E$54:$AE$54)</f>
        <v>789.50184695431687</v>
      </c>
      <c r="AK37" s="143" cm="1">
        <f t="array" ref="AK37">SUMPRODUCT(ISNUMBER(SEARCH('16 Water Heating Costs'!$E$42:$AE$42,'16 Water Heating Costs'!Y23)) *'16 Water Heating Costs'!$E$54:$AE$54)</f>
        <v>789.50184695431687</v>
      </c>
      <c r="AL37" s="150" cm="1">
        <f t="array" ref="AL37">SUMPRODUCT(ISNUMBER(SEARCH('16 Water Heating Costs'!$E$42:$AE$42,'16 Water Heating Costs'!Z23)) *'16 Water Heating Costs'!$E$54:$AE$54)</f>
        <v>1402.9330931320687</v>
      </c>
    </row>
    <row r="38" spans="1:38" s="61" customFormat="1" ht="199.9" customHeight="1" x14ac:dyDescent="0.25">
      <c r="A38" s="60"/>
      <c r="B38" s="1105"/>
      <c r="C38" s="152" t="s">
        <v>86</v>
      </c>
      <c r="D38" s="143" cm="1">
        <f t="array" ref="D38">SUMPRODUCT(ISNUMBER(SEARCH('16 Water Heating Costs'!$E$42:$AE$42,'16 Water Heating Costs'!F24)) *'16 Water Heating Costs'!$E$54:$AE$54)</f>
        <v>2086.1876582594386</v>
      </c>
      <c r="E38" s="143" cm="1">
        <f t="array" ref="E38">SUMPRODUCT(ISNUMBER(SEARCH('16 Water Heating Costs'!$E$42:$AE$42,'16 Water Heating Costs'!G24)) *'16 Water Heating Costs'!$E$54:$AE$54)</f>
        <v>1472.7564120816869</v>
      </c>
      <c r="F38" s="687"/>
      <c r="G38" s="143" cm="1">
        <f t="array" ref="G38">SUMPRODUCT(ISNUMBER(SEARCH('16 Water Heating Costs'!$E$42:$AE$42,'16 Water Heating Costs'!I24)) *'16 Water Heating Costs'!$E$54:$AE$54)</f>
        <v>1472.7564120816869</v>
      </c>
      <c r="H38" s="150" cm="1">
        <f t="array" ref="H38">SUMPRODUCT(ISNUMBER(SEARCH('16 Water Heating Costs'!$E$42:$AE$42,'16 Water Heating Costs'!J24)) *'16 Water Heating Costs'!$E$54:$AE$54)</f>
        <v>2086.1876582594386</v>
      </c>
      <c r="I38"/>
      <c r="J38" s="5"/>
      <c r="K38" s="5"/>
      <c r="L38" s="5"/>
      <c r="M38" s="5"/>
      <c r="N38" s="5"/>
      <c r="O38" s="5"/>
      <c r="P38" s="5"/>
      <c r="Q38" s="1105"/>
      <c r="R38" s="152" t="s">
        <v>86</v>
      </c>
      <c r="S38" s="143" cm="1">
        <f t="array" ref="S38">SUMPRODUCT(ISNUMBER(SEARCH('16 Water Heating Costs'!$E$42:$AE$42,'16 Water Heating Costs'!N24)) *'16 Water Heating Costs'!$E$54:$AE$54)</f>
        <v>2284.527603002683</v>
      </c>
      <c r="T38" s="143" cm="1">
        <f t="array" ref="T38">SUMPRODUCT(ISNUMBER(SEARCH('16 Water Heating Costs'!$E$42:$AE$42,'16 Water Heating Costs'!O24)) *'16 Water Heating Costs'!$E$54:$AE$54)</f>
        <v>1671.0963568249313</v>
      </c>
      <c r="U38" s="687"/>
      <c r="V38" s="143" cm="1">
        <f t="array" ref="V38">SUMPRODUCT(ISNUMBER(SEARCH('16 Water Heating Costs'!$E$42:$AE$42,'16 Water Heating Costs'!Q24)) *'16 Water Heating Costs'!$E$54:$AE$54)</f>
        <v>1671.0963568249313</v>
      </c>
      <c r="W38" s="150" cm="1">
        <f t="array" ref="W38">SUMPRODUCT(ISNUMBER(SEARCH('16 Water Heating Costs'!$E$42:$AE$42,'16 Water Heating Costs'!R24)) *'16 Water Heating Costs'!$E$54:$AE$54)</f>
        <v>2284.527603002683</v>
      </c>
      <c r="X38"/>
      <c r="Y38" s="5"/>
      <c r="Z38" s="5"/>
      <c r="AA38" s="5"/>
      <c r="AB38" s="5"/>
      <c r="AC38" s="5"/>
      <c r="AD38" s="5"/>
      <c r="AE38" s="5"/>
      <c r="AF38" s="1119"/>
      <c r="AG38" s="152" t="s">
        <v>86</v>
      </c>
      <c r="AH38" s="143" cm="1">
        <f t="array" ref="AH38">SUMPRODUCT(ISNUMBER(SEARCH('16 Water Heating Costs'!$E$42:$AE$42,'16 Water Heating Costs'!V24)) *'16 Water Heating Costs'!$E$54:$AE$54)</f>
        <v>1990.6627663791451</v>
      </c>
      <c r="AI38" s="143" cm="1">
        <f t="array" ref="AI38">SUMPRODUCT(ISNUMBER(SEARCH('16 Water Heating Costs'!$E$42:$AE$42,'16 Water Heating Costs'!W24)) *'16 Water Heating Costs'!$E$54:$AE$54)</f>
        <v>1377.2315202013931</v>
      </c>
      <c r="AJ38" s="687"/>
      <c r="AK38" s="143" cm="1">
        <f t="array" ref="AK38">SUMPRODUCT(ISNUMBER(SEARCH('16 Water Heating Costs'!$E$42:$AE$42,'16 Water Heating Costs'!Y24)) *'16 Water Heating Costs'!$E$54:$AE$54)</f>
        <v>1377.2315202013931</v>
      </c>
      <c r="AL38" s="150" cm="1">
        <f t="array" ref="AL38">SUMPRODUCT(ISNUMBER(SEARCH('16 Water Heating Costs'!$E$42:$AE$42,'16 Water Heating Costs'!Z24)) *'16 Water Heating Costs'!$E$54:$AE$54)</f>
        <v>1990.6627663791451</v>
      </c>
    </row>
    <row r="39" spans="1:38" ht="199.9" customHeight="1" x14ac:dyDescent="0.25">
      <c r="B39" s="1105"/>
      <c r="C39" s="152" t="s">
        <v>242</v>
      </c>
      <c r="D39" s="143" cm="1">
        <f t="array" ref="D39">SUMPRODUCT(ISNUMBER(SEARCH('16 Water Heating Costs'!$E$42:$AE$42,'16 Water Heating Costs'!F25)) *'16 Water Heating Costs'!$E$54:$AE$54)</f>
        <v>2086.1876582594386</v>
      </c>
      <c r="E39" s="143" cm="1">
        <f t="array" ref="E39">SUMPRODUCT(ISNUMBER(SEARCH('16 Water Heating Costs'!$E$42:$AE$42,'16 Water Heating Costs'!G25)) *'16 Water Heating Costs'!$E$54:$AE$54)</f>
        <v>1472.7564120816869</v>
      </c>
      <c r="F39" s="143" cm="1">
        <f t="array" ref="F39">SUMPRODUCT(ISNUMBER(SEARCH('16 Water Heating Costs'!$E$42:$AE$42,'16 Water Heating Costs'!H25)) *'16 Water Heating Costs'!$E$54:$AE$54)</f>
        <v>1472.7564120816869</v>
      </c>
      <c r="G39" s="687"/>
      <c r="H39" s="150" cm="1">
        <f t="array" ref="H39">SUMPRODUCT(ISNUMBER(SEARCH('16 Water Heating Costs'!$E$42:$AE$42,'16 Water Heating Costs'!J25)) *'16 Water Heating Costs'!$E$54:$AE$54)</f>
        <v>2086.1876582594386</v>
      </c>
      <c r="I39"/>
      <c r="P39" s="5"/>
      <c r="Q39" s="1105"/>
      <c r="R39" s="152" t="s">
        <v>242</v>
      </c>
      <c r="S39" s="143" cm="1">
        <f t="array" ref="S39">SUMPRODUCT(ISNUMBER(SEARCH('16 Water Heating Costs'!$E$42:$AE$42,'16 Water Heating Costs'!N25)) *'16 Water Heating Costs'!$E$54:$AE$54)</f>
        <v>2284.527603002683</v>
      </c>
      <c r="T39" s="143" cm="1">
        <f t="array" ref="T39">SUMPRODUCT(ISNUMBER(SEARCH('16 Water Heating Costs'!$E$42:$AE$42,'16 Water Heating Costs'!O25)) *'16 Water Heating Costs'!$E$54:$AE$54)</f>
        <v>1671.0963568249313</v>
      </c>
      <c r="U39" s="143" cm="1">
        <f t="array" ref="U39">SUMPRODUCT(ISNUMBER(SEARCH('16 Water Heating Costs'!$E$42:$AE$42,'16 Water Heating Costs'!P25)) *'16 Water Heating Costs'!$E$54:$AE$54)</f>
        <v>1671.0963568249313</v>
      </c>
      <c r="V39" s="687"/>
      <c r="W39" s="150" cm="1">
        <f t="array" ref="W39">SUMPRODUCT(ISNUMBER(SEARCH('16 Water Heating Costs'!$E$42:$AE$42,'16 Water Heating Costs'!R25)) *'16 Water Heating Costs'!$E$54:$AE$54)</f>
        <v>2284.527603002683</v>
      </c>
      <c r="X39"/>
      <c r="Y39" s="5"/>
      <c r="Z39" s="5"/>
      <c r="AA39" s="5"/>
      <c r="AB39" s="5"/>
      <c r="AC39" s="5"/>
      <c r="AD39" s="5"/>
      <c r="AE39" s="5"/>
      <c r="AF39" s="1119"/>
      <c r="AG39" s="152" t="s">
        <v>242</v>
      </c>
      <c r="AH39" s="143" cm="1">
        <f t="array" ref="AH39">SUMPRODUCT(ISNUMBER(SEARCH('16 Water Heating Costs'!$E$42:$AE$42,'16 Water Heating Costs'!V25)) *'16 Water Heating Costs'!$E$54:$AE$54)</f>
        <v>1990.6627663791451</v>
      </c>
      <c r="AI39" s="143" cm="1">
        <f t="array" ref="AI39">SUMPRODUCT(ISNUMBER(SEARCH('16 Water Heating Costs'!$E$42:$AE$42,'16 Water Heating Costs'!W25)) *'16 Water Heating Costs'!$E$54:$AE$54)</f>
        <v>1377.2315202013931</v>
      </c>
      <c r="AJ39" s="143" cm="1">
        <f t="array" ref="AJ39">SUMPRODUCT(ISNUMBER(SEARCH('16 Water Heating Costs'!$E$42:$AE$42,'16 Water Heating Costs'!X25)) *'16 Water Heating Costs'!$E$54:$AE$54)</f>
        <v>1377.2315202013931</v>
      </c>
      <c r="AK39" s="687"/>
      <c r="AL39" s="150" cm="1">
        <f t="array" ref="AL39">SUMPRODUCT(ISNUMBER(SEARCH('16 Water Heating Costs'!$E$42:$AE$42,'16 Water Heating Costs'!Z25)) *'16 Water Heating Costs'!$E$54:$AE$54)</f>
        <v>1990.6627663791451</v>
      </c>
    </row>
    <row r="40" spans="1:38" ht="199.9" customHeight="1" thickBot="1" x14ac:dyDescent="0.3">
      <c r="A40" s="60"/>
      <c r="B40" s="1106"/>
      <c r="C40" s="153" t="s">
        <v>172</v>
      </c>
      <c r="D40" s="354" cm="1">
        <f t="array" ref="D40">SUMPRODUCT(ISNUMBER(SEARCH('16 Water Heating Costs'!$E$42:$AE$42,'16 Water Heating Costs'!F26)) *'16 Water Heating Costs'!$E$54:$AE$54)</f>
        <v>80</v>
      </c>
      <c r="E40" s="354" cm="1">
        <f t="array" ref="E40">SUMPRODUCT(ISNUMBER(SEARCH('16 Water Heating Costs'!$E$42:$AE$42,'16 Water Heating Costs'!G26)) *'16 Water Heating Costs'!$E$54:$AE$54)</f>
        <v>1293.1666626070937</v>
      </c>
      <c r="F40" s="354" cm="1">
        <f t="array" ref="F40">SUMPRODUCT(ISNUMBER(SEARCH('16 Water Heating Costs'!$E$42:$AE$42,'16 Water Heating Costs'!H26)) *'16 Water Heating Costs'!$E$54:$AE$54)</f>
        <v>1293.1666626070937</v>
      </c>
      <c r="G40" s="354" cm="1">
        <f t="array" ref="G40">SUMPRODUCT(ISNUMBER(SEARCH('16 Water Heating Costs'!$E$42:$AE$42,'16 Water Heating Costs'!I26)) *'16 Water Heating Costs'!$E$54:$AE$54)</f>
        <v>1293.1666626070937</v>
      </c>
      <c r="H40" s="688"/>
      <c r="I40"/>
      <c r="P40" s="5"/>
      <c r="Q40" s="1106"/>
      <c r="R40" s="153" t="s">
        <v>172</v>
      </c>
      <c r="S40" s="354" cm="1">
        <f t="array" ref="S40">SUMPRODUCT(ISNUMBER(SEARCH('16 Water Heating Costs'!$E$42:$AE$42,'16 Water Heating Costs'!N26)) *'16 Water Heating Costs'!$E$54:$AE$54)</f>
        <v>80</v>
      </c>
      <c r="T40" s="354" cm="1">
        <f t="array" ref="T40">SUMPRODUCT(ISNUMBER(SEARCH('16 Water Heating Costs'!$E$42:$AE$42,'16 Water Heating Costs'!O26)) *'16 Water Heating Costs'!$E$54:$AE$54)</f>
        <v>1293.1666626070937</v>
      </c>
      <c r="U40" s="354" cm="1">
        <f t="array" ref="U40">SUMPRODUCT(ISNUMBER(SEARCH('16 Water Heating Costs'!$E$42:$AE$42,'16 Water Heating Costs'!P26)) *'16 Water Heating Costs'!$E$54:$AE$54)</f>
        <v>1293.1666626070937</v>
      </c>
      <c r="V40" s="354" cm="1">
        <f t="array" ref="V40">SUMPRODUCT(ISNUMBER(SEARCH('16 Water Heating Costs'!$E$42:$AE$42,'16 Water Heating Costs'!Q26)) *'16 Water Heating Costs'!$E$54:$AE$54)</f>
        <v>1293.1666626070937</v>
      </c>
      <c r="W40" s="688"/>
      <c r="X40"/>
      <c r="Y40" s="5"/>
      <c r="Z40" s="5"/>
      <c r="AA40" s="5"/>
      <c r="AB40" s="5"/>
      <c r="AC40" s="5"/>
      <c r="AD40" s="5"/>
      <c r="AE40" s="5"/>
      <c r="AF40" s="1120"/>
      <c r="AG40" s="153" t="s">
        <v>172</v>
      </c>
      <c r="AH40" s="354" cm="1">
        <f t="array" ref="AH40">SUMPRODUCT(ISNUMBER(SEARCH('16 Water Heating Costs'!$E$42:$AE$42,'16 Water Heating Costs'!V26)) *'16 Water Heating Costs'!$E$54:$AE$54)</f>
        <v>80</v>
      </c>
      <c r="AI40" s="354" cm="1">
        <f t="array" ref="AI40">SUMPRODUCT(ISNUMBER(SEARCH('16 Water Heating Costs'!$E$42:$AE$42,'16 Water Heating Costs'!W26)) *'16 Water Heating Costs'!$E$54:$AE$54)</f>
        <v>1293.1666626070937</v>
      </c>
      <c r="AJ40" s="354" cm="1">
        <f t="array" ref="AJ40">SUMPRODUCT(ISNUMBER(SEARCH('16 Water Heating Costs'!$E$42:$AE$42,'16 Water Heating Costs'!X26)) *'16 Water Heating Costs'!$E$54:$AE$54)</f>
        <v>1293.1666626070937</v>
      </c>
      <c r="AK40" s="354" cm="1">
        <f t="array" ref="AK40">SUMPRODUCT(ISNUMBER(SEARCH('16 Water Heating Costs'!$E$42:$AE$42,'16 Water Heating Costs'!Y26)) *'16 Water Heating Costs'!$E$54:$AE$54)</f>
        <v>1293.1666626070937</v>
      </c>
      <c r="AL40" s="688"/>
    </row>
    <row r="41" spans="1:38" ht="79.900000000000006" customHeight="1" thickBot="1" x14ac:dyDescent="0.3">
      <c r="A41" s="60"/>
      <c r="B41"/>
      <c r="C41"/>
      <c r="D41"/>
      <c r="E41"/>
      <c r="F41"/>
      <c r="G41"/>
      <c r="H41"/>
      <c r="I41"/>
      <c r="P41" s="5"/>
      <c r="Q41"/>
      <c r="R41"/>
      <c r="S41"/>
      <c r="T41"/>
      <c r="U41"/>
      <c r="V41"/>
      <c r="W41"/>
      <c r="X41"/>
      <c r="Y41" s="5"/>
      <c r="Z41" s="5"/>
      <c r="AA41" s="5"/>
      <c r="AB41" s="5"/>
      <c r="AC41" s="5"/>
      <c r="AD41" s="5"/>
      <c r="AE41" s="5"/>
      <c r="AF41"/>
      <c r="AG41"/>
      <c r="AH41"/>
      <c r="AI41"/>
      <c r="AJ41"/>
      <c r="AK41"/>
      <c r="AL41"/>
    </row>
    <row r="42" spans="1:38" ht="204.75" customHeight="1" x14ac:dyDescent="0.25">
      <c r="A42" s="60"/>
      <c r="B42" s="1107" t="s">
        <v>1629</v>
      </c>
      <c r="C42" s="1108"/>
      <c r="D42" s="1108"/>
      <c r="E42" s="1108"/>
      <c r="F42" s="1108"/>
      <c r="G42" s="1108"/>
      <c r="H42" s="1109"/>
      <c r="I42"/>
      <c r="P42" s="5"/>
      <c r="Q42" s="1107" t="s">
        <v>1630</v>
      </c>
      <c r="R42" s="1108"/>
      <c r="S42" s="1108"/>
      <c r="T42" s="1108"/>
      <c r="U42" s="1108"/>
      <c r="V42" s="1108"/>
      <c r="W42" s="1109"/>
      <c r="X42"/>
      <c r="Y42" s="5"/>
      <c r="Z42" s="5"/>
      <c r="AA42" s="5"/>
      <c r="AB42" s="5"/>
      <c r="AC42" s="5"/>
      <c r="AD42" s="5"/>
      <c r="AE42" s="5"/>
      <c r="AF42" s="1107" t="s">
        <v>1631</v>
      </c>
      <c r="AG42" s="1108"/>
      <c r="AH42" s="1108"/>
      <c r="AI42" s="1108"/>
      <c r="AJ42" s="1108"/>
      <c r="AK42" s="1108"/>
      <c r="AL42" s="1109"/>
    </row>
    <row r="43" spans="1:38" ht="79.900000000000006" customHeight="1" x14ac:dyDescent="0.25">
      <c r="A43" s="60"/>
      <c r="B43" s="1110" t="s">
        <v>977</v>
      </c>
      <c r="C43" s="1111"/>
      <c r="D43" s="1116" t="s">
        <v>990</v>
      </c>
      <c r="E43" s="1117"/>
      <c r="F43" s="1117"/>
      <c r="G43" s="1117"/>
      <c r="H43" s="1118"/>
      <c r="I43"/>
      <c r="P43" s="5"/>
      <c r="Q43" s="1110" t="s">
        <v>977</v>
      </c>
      <c r="R43" s="1111"/>
      <c r="S43" s="1116" t="s">
        <v>990</v>
      </c>
      <c r="T43" s="1117"/>
      <c r="U43" s="1117"/>
      <c r="V43" s="1117"/>
      <c r="W43" s="1118"/>
      <c r="X43"/>
      <c r="Y43" s="5"/>
      <c r="Z43" s="5"/>
      <c r="AA43" s="5"/>
      <c r="AB43" s="5"/>
      <c r="AC43" s="5"/>
      <c r="AD43" s="5"/>
      <c r="AE43" s="5"/>
      <c r="AF43" s="1110" t="s">
        <v>977</v>
      </c>
      <c r="AG43" s="1111"/>
      <c r="AH43" s="1116" t="s">
        <v>990</v>
      </c>
      <c r="AI43" s="1117"/>
      <c r="AJ43" s="1117"/>
      <c r="AK43" s="1117"/>
      <c r="AL43" s="1118"/>
    </row>
    <row r="44" spans="1:38" ht="79.900000000000006" customHeight="1" x14ac:dyDescent="0.25">
      <c r="A44" s="60"/>
      <c r="B44" s="1112"/>
      <c r="C44" s="1113"/>
      <c r="D44" s="1121" t="s">
        <v>246</v>
      </c>
      <c r="E44" s="1121" t="s">
        <v>244</v>
      </c>
      <c r="F44" s="1121" t="s">
        <v>86</v>
      </c>
      <c r="G44" s="1121" t="s">
        <v>242</v>
      </c>
      <c r="H44" s="1123" t="s">
        <v>172</v>
      </c>
      <c r="I44"/>
      <c r="P44" s="5"/>
      <c r="Q44" s="1112"/>
      <c r="R44" s="1113"/>
      <c r="S44" s="1121" t="s">
        <v>246</v>
      </c>
      <c r="T44" s="1121" t="s">
        <v>244</v>
      </c>
      <c r="U44" s="1121" t="s">
        <v>86</v>
      </c>
      <c r="V44" s="1121" t="s">
        <v>242</v>
      </c>
      <c r="W44" s="1123" t="s">
        <v>172</v>
      </c>
      <c r="X44"/>
      <c r="Y44" s="5"/>
      <c r="Z44" s="5"/>
      <c r="AA44" s="5"/>
      <c r="AB44" s="5"/>
      <c r="AC44" s="5"/>
      <c r="AD44" s="5"/>
      <c r="AE44" s="5"/>
      <c r="AF44" s="1112"/>
      <c r="AG44" s="1113"/>
      <c r="AH44" s="668" t="s">
        <v>246</v>
      </c>
      <c r="AI44" s="668" t="s">
        <v>244</v>
      </c>
      <c r="AJ44" s="668" t="s">
        <v>86</v>
      </c>
      <c r="AK44" s="668" t="s">
        <v>242</v>
      </c>
      <c r="AL44" s="677" t="s">
        <v>172</v>
      </c>
    </row>
    <row r="45" spans="1:38" ht="79.900000000000006" customHeight="1" x14ac:dyDescent="0.25">
      <c r="A45" s="60"/>
      <c r="B45" s="1114"/>
      <c r="C45" s="1115"/>
      <c r="D45" s="1122"/>
      <c r="E45" s="1122"/>
      <c r="F45" s="1122"/>
      <c r="G45" s="1122"/>
      <c r="H45" s="1124"/>
      <c r="I45"/>
      <c r="P45" s="5"/>
      <c r="Q45" s="1114"/>
      <c r="R45" s="1115"/>
      <c r="S45" s="1122"/>
      <c r="T45" s="1122"/>
      <c r="U45" s="1122"/>
      <c r="V45" s="1122"/>
      <c r="W45" s="1124"/>
      <c r="X45"/>
      <c r="Y45" s="5"/>
      <c r="Z45" s="5"/>
      <c r="AA45" s="5"/>
      <c r="AB45" s="5"/>
      <c r="AC45" s="5"/>
      <c r="AD45" s="5"/>
      <c r="AE45" s="5"/>
      <c r="AF45" s="1114"/>
      <c r="AG45" s="1115"/>
      <c r="AH45" s="179"/>
      <c r="AI45" s="179"/>
      <c r="AJ45" s="179"/>
      <c r="AK45" s="179"/>
      <c r="AL45" s="180"/>
    </row>
    <row r="46" spans="1:38" ht="199.9" customHeight="1" x14ac:dyDescent="0.25">
      <c r="B46" s="1104" t="s">
        <v>952</v>
      </c>
      <c r="C46" s="149" t="s">
        <v>246</v>
      </c>
      <c r="D46" s="687"/>
      <c r="E46" s="143" cm="1">
        <f t="array" ref="E46">SUMPRODUCT(ISNUMBER(SEARCH('16 Water Heating Costs'!$E$42:$AE$42,'16 Water Heating Costs'!G33)) *'16 Water Heating Costs'!$E$54:$AE$54)</f>
        <v>1293.1666626070937</v>
      </c>
      <c r="F46" s="143" cm="1">
        <f t="array" ref="F46">SUMPRODUCT(ISNUMBER(SEARCH('16 Water Heating Costs'!$E$42:$AE$42,'16 Water Heating Costs'!H33)) *'16 Water Heating Costs'!$E$54:$AE$54)</f>
        <v>1293.1666626070937</v>
      </c>
      <c r="G46" s="143" cm="1">
        <f t="array" ref="G46">SUMPRODUCT(ISNUMBER(SEARCH('16 Water Heating Costs'!$E$42:$AE$42,'16 Water Heating Costs'!I33)) *'16 Water Heating Costs'!$E$54:$AE$54)</f>
        <v>1293.1666626070937</v>
      </c>
      <c r="H46" s="150" cm="1">
        <f t="array" ref="H46">SUMPRODUCT(ISNUMBER(SEARCH('16 Water Heating Costs'!$E$42:$AE$42,'16 Water Heating Costs'!J33)) *'16 Water Heating Costs'!$E$54:$AE$54)</f>
        <v>1031.7203015031764</v>
      </c>
      <c r="I46"/>
      <c r="P46" s="5"/>
      <c r="Q46" s="1104" t="s">
        <v>952</v>
      </c>
      <c r="R46" s="149" t="s">
        <v>246</v>
      </c>
      <c r="S46" s="687"/>
      <c r="T46" s="143" cm="1">
        <f t="array" ref="T46">SUMPRODUCT(ISNUMBER(SEARCH('16 Water Heating Costs'!$E$42:$AE$42,'16 Water Heating Costs'!O33)) *'16 Water Heating Costs'!$E$54:$AE$54)</f>
        <v>1293.1666626070937</v>
      </c>
      <c r="U46" s="143" cm="1">
        <f t="array" ref="U46">SUMPRODUCT(ISNUMBER(SEARCH('16 Water Heating Costs'!$E$42:$AE$42,'16 Water Heating Costs'!P33)) *'16 Water Heating Costs'!$E$54:$AE$54)</f>
        <v>1293.1666626070937</v>
      </c>
      <c r="V46" s="143" cm="1">
        <f t="array" ref="V46">SUMPRODUCT(ISNUMBER(SEARCH('16 Water Heating Costs'!$E$42:$AE$42,'16 Water Heating Costs'!Q33)) *'16 Water Heating Costs'!$E$54:$AE$54)</f>
        <v>1293.1666626070937</v>
      </c>
      <c r="W46" s="150" cm="1">
        <f t="array" ref="W46">SUMPRODUCT(ISNUMBER(SEARCH('16 Water Heating Costs'!$E$42:$AE$42,'16 Water Heating Costs'!R33)) *'16 Water Heating Costs'!$E$54:$AE$54)</f>
        <v>1031.7203015031764</v>
      </c>
      <c r="X46"/>
      <c r="Y46" s="5"/>
      <c r="Z46" s="5"/>
      <c r="AA46" s="5"/>
      <c r="AB46" s="5"/>
      <c r="AC46" s="5"/>
      <c r="AD46" s="5"/>
      <c r="AE46" s="5"/>
      <c r="AF46" s="1104" t="s">
        <v>952</v>
      </c>
      <c r="AG46" s="149" t="s">
        <v>246</v>
      </c>
      <c r="AH46" s="687"/>
      <c r="AI46" s="143" cm="1">
        <f t="array" ref="AI46">SUMPRODUCT(ISNUMBER(SEARCH('16 Water Heating Costs'!$E$42:$AE$42,'16 Water Heating Costs'!W33)) *'16 Water Heating Costs'!$E$54:$AE$54)</f>
        <v>1293.1666626070937</v>
      </c>
      <c r="AJ46" s="143" cm="1">
        <f t="array" ref="AJ46">SUMPRODUCT(ISNUMBER(SEARCH('16 Water Heating Costs'!$E$42:$AE$42,'16 Water Heating Costs'!X33)) *'16 Water Heating Costs'!$E$54:$AE$54)</f>
        <v>1293.1666626070937</v>
      </c>
      <c r="AK46" s="143" cm="1">
        <f t="array" ref="AK46">SUMPRODUCT(ISNUMBER(SEARCH('16 Water Heating Costs'!$E$42:$AE$42,'16 Water Heating Costs'!Y33)) *'16 Water Heating Costs'!$E$54:$AE$54)</f>
        <v>1293.1666626070937</v>
      </c>
      <c r="AL46" s="150" cm="1">
        <f t="array" ref="AL46">SUMPRODUCT(ISNUMBER(SEARCH('16 Water Heating Costs'!$E$42:$AE$42,'16 Water Heating Costs'!Z33)) *'16 Water Heating Costs'!$E$54:$AE$54)</f>
        <v>1031.7203015031764</v>
      </c>
    </row>
    <row r="47" spans="1:38" ht="199.9" customHeight="1" x14ac:dyDescent="0.25">
      <c r="B47" s="1105"/>
      <c r="C47" s="152" t="s">
        <v>244</v>
      </c>
      <c r="D47" s="687"/>
      <c r="E47" s="687"/>
      <c r="F47" s="687"/>
      <c r="G47" s="687"/>
      <c r="H47" s="689"/>
      <c r="I47"/>
      <c r="P47" s="5"/>
      <c r="Q47" s="1105"/>
      <c r="R47" s="152" t="s">
        <v>244</v>
      </c>
      <c r="S47" s="687"/>
      <c r="T47" s="687"/>
      <c r="U47" s="687"/>
      <c r="V47" s="687"/>
      <c r="W47" s="689"/>
      <c r="X47"/>
      <c r="Y47" s="5"/>
      <c r="Z47" s="5"/>
      <c r="AA47" s="5"/>
      <c r="AB47" s="5"/>
      <c r="AC47" s="5"/>
      <c r="AD47" s="5"/>
      <c r="AE47" s="5"/>
      <c r="AF47" s="1119"/>
      <c r="AG47" s="152" t="s">
        <v>244</v>
      </c>
      <c r="AH47" s="687"/>
      <c r="AI47" s="687"/>
      <c r="AJ47" s="687"/>
      <c r="AK47" s="687"/>
      <c r="AL47" s="689"/>
    </row>
    <row r="48" spans="1:38" ht="199.9" customHeight="1" x14ac:dyDescent="0.25">
      <c r="B48" s="1105"/>
      <c r="C48" s="152" t="s">
        <v>86</v>
      </c>
      <c r="D48" s="143" cm="1">
        <f t="array" ref="D48">SUMPRODUCT(ISNUMBER(SEARCH('16 Water Heating Costs'!$E$42:$AE$42,'16 Water Heating Costs'!F35)) *'16 Water Heating Costs'!$E$54:$AE$54)</f>
        <v>4013.5758895811709</v>
      </c>
      <c r="E48" s="143" cm="1">
        <f t="array" ref="E48">SUMPRODUCT(ISNUMBER(SEARCH('16 Water Heating Costs'!$E$42:$AE$42,'16 Water Heating Costs'!G35)) *'16 Water Heating Costs'!$E$54:$AE$54)</f>
        <v>2356.7256064597209</v>
      </c>
      <c r="F48" s="687"/>
      <c r="G48" s="143" cm="1">
        <f t="array" ref="G48">SUMPRODUCT(ISNUMBER(SEARCH('16 Water Heating Costs'!$E$42:$AE$42,'16 Water Heating Costs'!I35)) *'16 Water Heating Costs'!$E$54:$AE$54)</f>
        <v>3400.1446434034192</v>
      </c>
      <c r="H48" s="150" cm="1">
        <f t="array" ref="H48">SUMPRODUCT(ISNUMBER(SEARCH('16 Water Heating Costs'!$E$42:$AE$42,'16 Water Heating Costs'!J35)) *'16 Water Heating Costs'!$E$54:$AE$54)</f>
        <v>4013.5758895811709</v>
      </c>
      <c r="I48"/>
      <c r="P48" s="5"/>
      <c r="Q48" s="1105"/>
      <c r="R48" s="152" t="s">
        <v>86</v>
      </c>
      <c r="S48" s="143" cm="1">
        <f t="array" ref="S48">SUMPRODUCT(ISNUMBER(SEARCH('16 Water Heating Costs'!$E$42:$AE$42,'16 Water Heating Costs'!N35)) *'16 Water Heating Costs'!$E$54:$AE$54)</f>
        <v>4898.1720431360409</v>
      </c>
      <c r="T48" s="143" cm="1">
        <f t="array" ref="T48">SUMPRODUCT(ISNUMBER(SEARCH('16 Water Heating Costs'!$E$42:$AE$42,'16 Water Heating Costs'!O35)) *'16 Water Heating Costs'!$E$54:$AE$54)</f>
        <v>3241.3217600145908</v>
      </c>
      <c r="U48" s="687"/>
      <c r="V48" s="143" cm="1">
        <f t="array" ref="V48">SUMPRODUCT(ISNUMBER(SEARCH('16 Water Heating Costs'!$E$42:$AE$42,'16 Water Heating Costs'!Q35)) *'16 Water Heating Costs'!$E$54:$AE$54)</f>
        <v>4284.7407969582891</v>
      </c>
      <c r="W48" s="150" cm="1">
        <f t="array" ref="W48">SUMPRODUCT(ISNUMBER(SEARCH('16 Water Heating Costs'!$E$42:$AE$42,'16 Water Heating Costs'!R35)) *'16 Water Heating Costs'!$E$54:$AE$54)</f>
        <v>4898.1720431360409</v>
      </c>
      <c r="X48"/>
      <c r="Y48" s="5"/>
      <c r="Z48" s="5"/>
      <c r="AA48" s="5"/>
      <c r="AB48" s="5"/>
      <c r="AC48" s="5"/>
      <c r="AD48" s="5"/>
      <c r="AE48" s="5"/>
      <c r="AF48" s="1119"/>
      <c r="AG48" s="152" t="s">
        <v>86</v>
      </c>
      <c r="AH48" s="143" cm="1">
        <f t="array" ref="AH48">SUMPRODUCT(ISNUMBER(SEARCH('16 Water Heating Costs'!$E$42:$AE$42,'16 Water Heating Costs'!V35)) *'16 Water Heating Costs'!$E$54:$AE$54)</f>
        <v>3587.534871795061</v>
      </c>
      <c r="AI48" s="143" cm="1">
        <f t="array" ref="AI48">SUMPRODUCT(ISNUMBER(SEARCH('16 Water Heating Costs'!$E$42:$AE$42,'16 Water Heating Costs'!W35)) *'16 Water Heating Costs'!$E$54:$AE$54)</f>
        <v>3241.3217600145908</v>
      </c>
      <c r="AJ48" s="687"/>
      <c r="AK48" s="143" cm="1">
        <f t="array" ref="AK48">SUMPRODUCT(ISNUMBER(SEARCH('16 Water Heating Costs'!$E$42:$AE$42,'16 Water Heating Costs'!Y35)) *'16 Water Heating Costs'!$E$54:$AE$54)</f>
        <v>2974.1036256173093</v>
      </c>
      <c r="AL48" s="150" cm="1">
        <f t="array" ref="AL48">SUMPRODUCT(ISNUMBER(SEARCH('16 Water Heating Costs'!$E$42:$AE$42,'16 Water Heating Costs'!Z35)) *'16 Water Heating Costs'!$E$54:$AE$54)</f>
        <v>3587.534871795061</v>
      </c>
    </row>
    <row r="49" spans="2:38" ht="199.9" customHeight="1" x14ac:dyDescent="0.25">
      <c r="B49" s="1105"/>
      <c r="C49" s="152" t="s">
        <v>242</v>
      </c>
      <c r="D49" s="143" cm="1">
        <f t="array" ref="D49">SUMPRODUCT(ISNUMBER(SEARCH('16 Water Heating Costs'!$E$42:$AE$42,'16 Water Heating Costs'!F36)) *'16 Water Heating Costs'!$E$54:$AE$54)</f>
        <v>4013.5758895811709</v>
      </c>
      <c r="E49" s="143" cm="1">
        <f t="array" ref="E49">SUMPRODUCT(ISNUMBER(SEARCH('16 Water Heating Costs'!$E$42:$AE$42,'16 Water Heating Costs'!G36)) *'16 Water Heating Costs'!$E$54:$AE$54)</f>
        <v>3400.1446434034192</v>
      </c>
      <c r="F49" s="143" cm="1">
        <f t="array" ref="F49">SUMPRODUCT(ISNUMBER(SEARCH('16 Water Heating Costs'!$E$42:$AE$42,'16 Water Heating Costs'!H36)) *'16 Water Heating Costs'!$E$54:$AE$54)</f>
        <v>3400.1446434034192</v>
      </c>
      <c r="G49" s="687"/>
      <c r="H49" s="150" cm="1">
        <f t="array" ref="H49">SUMPRODUCT(ISNUMBER(SEARCH('16 Water Heating Costs'!$E$42:$AE$42,'16 Water Heating Costs'!J36)) *'16 Water Heating Costs'!$E$54:$AE$54)</f>
        <v>4013.5758895811709</v>
      </c>
      <c r="I49"/>
      <c r="P49" s="5"/>
      <c r="Q49" s="1105"/>
      <c r="R49" s="152" t="s">
        <v>242</v>
      </c>
      <c r="S49" s="143" cm="1">
        <f t="array" ref="S49">SUMPRODUCT(ISNUMBER(SEARCH('16 Water Heating Costs'!$E$42:$AE$42,'16 Water Heating Costs'!N36)) *'16 Water Heating Costs'!$E$54:$AE$54)</f>
        <v>4898.1720431360409</v>
      </c>
      <c r="T49" s="143" cm="1">
        <f t="array" ref="T49">SUMPRODUCT(ISNUMBER(SEARCH('16 Water Heating Costs'!$E$42:$AE$42,'16 Water Heating Costs'!O36)) *'16 Water Heating Costs'!$E$54:$AE$54)</f>
        <v>4284.7407969582891</v>
      </c>
      <c r="U49" s="143" cm="1">
        <f t="array" ref="U49">SUMPRODUCT(ISNUMBER(SEARCH('16 Water Heating Costs'!$E$42:$AE$42,'16 Water Heating Costs'!P36)) *'16 Water Heating Costs'!$E$54:$AE$54)</f>
        <v>4284.7407969582891</v>
      </c>
      <c r="V49" s="687"/>
      <c r="W49" s="150" cm="1">
        <f t="array" ref="W49">SUMPRODUCT(ISNUMBER(SEARCH('16 Water Heating Costs'!$E$42:$AE$42,'16 Water Heating Costs'!R36)) *'16 Water Heating Costs'!$E$54:$AE$54)</f>
        <v>4898.1720431360409</v>
      </c>
      <c r="X49"/>
      <c r="Y49" s="5"/>
      <c r="Z49" s="5"/>
      <c r="AA49" s="5"/>
      <c r="AB49" s="5"/>
      <c r="AC49" s="5"/>
      <c r="AD49" s="5"/>
      <c r="AE49" s="5"/>
      <c r="AF49" s="1119"/>
      <c r="AG49" s="152" t="s">
        <v>242</v>
      </c>
      <c r="AH49" s="143" cm="1">
        <f t="array" ref="AH49">SUMPRODUCT(ISNUMBER(SEARCH('16 Water Heating Costs'!$E$42:$AE$42,'16 Water Heating Costs'!V36)) *'16 Water Heating Costs'!$E$54:$AE$54)</f>
        <v>3587.534871795061</v>
      </c>
      <c r="AI49" s="143" cm="1">
        <f t="array" ref="AI49">SUMPRODUCT(ISNUMBER(SEARCH('16 Water Heating Costs'!$E$42:$AE$42,'16 Water Heating Costs'!W36)) *'16 Water Heating Costs'!$E$54:$AE$54)</f>
        <v>2974.1036256173093</v>
      </c>
      <c r="AJ49" s="143" cm="1">
        <f t="array" ref="AJ49">SUMPRODUCT(ISNUMBER(SEARCH('16 Water Heating Costs'!$E$42:$AE$42,'16 Water Heating Costs'!X36)) *'16 Water Heating Costs'!$E$54:$AE$54)</f>
        <v>2974.1036256173093</v>
      </c>
      <c r="AK49" s="687"/>
      <c r="AL49" s="150" cm="1">
        <f t="array" ref="AL49">SUMPRODUCT(ISNUMBER(SEARCH('16 Water Heating Costs'!$E$42:$AE$42,'16 Water Heating Costs'!Z36)) *'16 Water Heating Costs'!$E$54:$AE$54)</f>
        <v>3587.534871795061</v>
      </c>
    </row>
    <row r="50" spans="2:38" ht="199.9" customHeight="1" thickBot="1" x14ac:dyDescent="0.3">
      <c r="B50" s="1106"/>
      <c r="C50" s="153" t="s">
        <v>172</v>
      </c>
      <c r="D50" s="690"/>
      <c r="E50" s="690"/>
      <c r="F50" s="690"/>
      <c r="G50" s="690"/>
      <c r="H50" s="688"/>
      <c r="I50"/>
      <c r="P50" s="5"/>
      <c r="Q50" s="1106"/>
      <c r="R50" s="153" t="s">
        <v>172</v>
      </c>
      <c r="S50" s="690"/>
      <c r="T50" s="690"/>
      <c r="U50" s="690"/>
      <c r="V50" s="690"/>
      <c r="W50" s="688"/>
      <c r="X50"/>
      <c r="Y50" s="5"/>
      <c r="Z50" s="5"/>
      <c r="AA50" s="5"/>
      <c r="AB50" s="5"/>
      <c r="AC50" s="5"/>
      <c r="AD50" s="5"/>
      <c r="AE50" s="5"/>
      <c r="AF50" s="1120"/>
      <c r="AG50" s="153" t="s">
        <v>172</v>
      </c>
      <c r="AH50" s="690"/>
      <c r="AI50" s="690"/>
      <c r="AJ50" s="690"/>
      <c r="AK50" s="690"/>
      <c r="AL50" s="688"/>
    </row>
    <row r="51" spans="2:38" ht="79.900000000000006" customHeight="1" thickBot="1" x14ac:dyDescent="0.3">
      <c r="B51" s="673"/>
      <c r="C51" s="673"/>
      <c r="D51" s="673"/>
      <c r="E51" s="673"/>
      <c r="F51" s="673"/>
      <c r="G51" s="673"/>
      <c r="H51" s="673"/>
      <c r="I51" s="673"/>
      <c r="J51" s="673"/>
      <c r="K51" s="673"/>
      <c r="L51" s="673"/>
      <c r="M51" s="673"/>
      <c r="N51" s="679"/>
      <c r="P51" s="5"/>
      <c r="Q51" s="673"/>
      <c r="R51" s="673"/>
      <c r="S51" s="673"/>
      <c r="T51" s="673"/>
      <c r="U51" s="673"/>
      <c r="V51" s="673"/>
      <c r="W51" s="673"/>
      <c r="X51" s="673"/>
      <c r="Y51" s="673"/>
      <c r="Z51" s="673"/>
      <c r="AA51" s="673"/>
      <c r="AB51" s="673"/>
      <c r="AC51" s="5"/>
      <c r="AD51" s="5"/>
      <c r="AE51" s="5"/>
      <c r="AF51" s="673"/>
      <c r="AG51" s="673"/>
      <c r="AH51" s="673"/>
      <c r="AI51" s="673"/>
      <c r="AJ51" s="673"/>
      <c r="AK51" s="673"/>
      <c r="AL51" s="673"/>
    </row>
    <row r="52" spans="2:38" ht="175.15" customHeight="1" thickBot="1" x14ac:dyDescent="0.3">
      <c r="B52" s="1135" t="s">
        <v>1074</v>
      </c>
      <c r="C52" s="1136"/>
      <c r="D52" s="1136"/>
      <c r="E52" s="1136"/>
      <c r="F52" s="1136"/>
      <c r="G52" s="1137"/>
      <c r="H52" s="364"/>
      <c r="I52" s="131"/>
      <c r="J52" s="146"/>
      <c r="K52" s="146"/>
      <c r="L52" s="146"/>
      <c r="M52" s="146"/>
      <c r="N52" s="156"/>
      <c r="O52" s="72"/>
    </row>
    <row r="53" spans="2:38" ht="79.900000000000006" customHeight="1" thickBot="1" x14ac:dyDescent="0.3">
      <c r="B53" s="1140" t="s">
        <v>226</v>
      </c>
      <c r="C53" s="1141"/>
      <c r="D53" s="1138" t="s">
        <v>282</v>
      </c>
      <c r="E53" s="1138"/>
      <c r="F53" s="1138"/>
      <c r="G53" s="1139"/>
      <c r="H53" s="183"/>
      <c r="I53" s="146"/>
      <c r="J53" s="146"/>
      <c r="K53" s="146"/>
      <c r="L53" s="146"/>
      <c r="M53" s="156"/>
      <c r="N53" s="72"/>
      <c r="O53" s="57"/>
    </row>
    <row r="54" spans="2:38" ht="199.9" customHeight="1" thickBot="1" x14ac:dyDescent="0.3">
      <c r="B54" s="1140"/>
      <c r="C54" s="1141"/>
      <c r="D54" s="147" t="s">
        <v>246</v>
      </c>
      <c r="E54" s="147" t="s">
        <v>594</v>
      </c>
      <c r="F54" s="147" t="s">
        <v>86</v>
      </c>
      <c r="G54" s="148" t="s">
        <v>242</v>
      </c>
      <c r="H54" s="131"/>
      <c r="I54" s="146"/>
      <c r="J54" s="146"/>
      <c r="K54" s="146"/>
      <c r="L54" s="146"/>
      <c r="M54" s="146"/>
      <c r="N54" s="72"/>
      <c r="O54" s="57"/>
    </row>
    <row r="55" spans="2:38" ht="199.9" customHeight="1" thickBot="1" x14ac:dyDescent="0.3">
      <c r="B55" s="1132" t="s">
        <v>227</v>
      </c>
      <c r="C55" s="147" t="s">
        <v>246</v>
      </c>
      <c r="D55" s="142"/>
      <c r="E55" s="143" cm="1">
        <f t="array" ref="E55">SUMPRODUCT(ISNUMBER(SEARCH('18 Clothes Drying Costs'!$D$16:$N$16,'18 Clothes Drying Costs'!G10)) *'18 Clothes Drying Costs'!$D$28:$N$28)</f>
        <v>751.36047549066325</v>
      </c>
      <c r="F55" s="143" cm="1">
        <f t="array" ref="F55">SUMPRODUCT(ISNUMBER(SEARCH('18 Clothes Drying Costs'!$D$16:$M$16,'18 Clothes Drying Costs'!H10)) *'18 Clothes Drying Costs'!$D$28:$M$28)</f>
        <v>1129.3209525894699</v>
      </c>
      <c r="G55" s="150" cm="1">
        <f t="array" ref="G55">SUMPRODUCT(ISNUMBER(SEARCH('18 Clothes Drying Costs'!$D$16:$M$16,'18 Clothes Drying Costs'!I10)) *'18 Clothes Drying Costs'!$D$28:$M$28)</f>
        <v>1129.3209525894699</v>
      </c>
      <c r="H55" s="131"/>
      <c r="I55" s="146"/>
      <c r="J55" s="146"/>
      <c r="K55" s="146"/>
      <c r="L55" s="146"/>
      <c r="M55" s="146"/>
      <c r="N55" s="72"/>
      <c r="O55" s="57"/>
    </row>
    <row r="56" spans="2:38" ht="199.9" customHeight="1" thickBot="1" x14ac:dyDescent="0.3">
      <c r="B56" s="1132"/>
      <c r="C56" s="147" t="s">
        <v>594</v>
      </c>
      <c r="D56" s="143" cm="1">
        <f t="array" ref="D56">SUMPRODUCT(ISNUMBER(SEARCH('18 Clothes Drying Costs'!$D$16:$M$16,'18 Clothes Drying Costs'!F11)) *'18 Clothes Drying Costs'!$D$28:$M$28)</f>
        <v>100</v>
      </c>
      <c r="E56" s="142"/>
      <c r="F56" s="143" cm="1">
        <f t="array" ref="F56">SUMPRODUCT(ISNUMBER(SEARCH('18 Clothes Drying Costs'!$D$16:$M$16,'18 Clothes Drying Costs'!H11)) *'18 Clothes Drying Costs'!$D$28:$M$28)</f>
        <v>1229.3209525894699</v>
      </c>
      <c r="G56" s="150" cm="1">
        <f t="array" ref="G56">SUMPRODUCT(ISNUMBER(SEARCH('18 Clothes Drying Costs'!$D$16:$M$16,'18 Clothes Drying Costs'!I11)) *'18 Clothes Drying Costs'!$D$28:$M$28)</f>
        <v>1279.3209525894699</v>
      </c>
      <c r="H56" s="131"/>
      <c r="I56" s="146"/>
      <c r="J56" s="146"/>
      <c r="K56" s="146"/>
      <c r="L56" s="146"/>
      <c r="M56" s="146"/>
      <c r="N56" s="72"/>
      <c r="O56" s="57"/>
    </row>
    <row r="57" spans="2:38" ht="199.9" customHeight="1" thickBot="1" x14ac:dyDescent="0.3">
      <c r="B57" s="1132"/>
      <c r="C57" s="147" t="s">
        <v>86</v>
      </c>
      <c r="D57" s="143" cm="1">
        <f t="array" ref="D57">SUMPRODUCT(ISNUMBER(SEARCH('18 Clothes Drying Costs'!$D$16:$M$16,'18 Clothes Drying Costs'!F12)) *'18 Clothes Drying Costs'!$D$28:$M$28)</f>
        <v>1068.156953068667</v>
      </c>
      <c r="E57" s="143" cm="1">
        <f t="array" ref="E57">SUMPRODUCT(ISNUMBER(SEARCH('18 Clothes Drying Costs'!$D$16:$N$16,'18 Clothes Drying Costs'!G12)) *'18 Clothes Drying Costs'!$D$28:$N$28)</f>
        <v>1769.5174285593303</v>
      </c>
      <c r="F57" s="142"/>
      <c r="G57" s="150" cm="1">
        <f t="array" ref="G57">SUMPRODUCT(ISNUMBER(SEARCH('18 Clothes Drying Costs'!$D$16:$M$16,'18 Clothes Drying Costs'!I12)) *'18 Clothes Drying Costs'!$D$28:$M$28)</f>
        <v>1422.2269990149593</v>
      </c>
      <c r="H57" s="131"/>
      <c r="I57" s="146"/>
      <c r="J57" s="146"/>
      <c r="K57" s="146"/>
      <c r="L57" s="146"/>
      <c r="M57" s="146"/>
      <c r="N57" s="58"/>
      <c r="O57" s="57"/>
    </row>
    <row r="58" spans="2:38" ht="199.9" customHeight="1" thickBot="1" x14ac:dyDescent="0.3">
      <c r="B58" s="1133"/>
      <c r="C58" s="137" t="s">
        <v>242</v>
      </c>
      <c r="D58" s="354" cm="1">
        <f t="array" ref="D58">SUMPRODUCT(ISNUMBER(SEARCH('18 Clothes Drying Costs'!$D$16:$M$16,'18 Clothes Drying Costs'!F13)) *'18 Clothes Drying Costs'!$D$28:$M$28)</f>
        <v>1068.156953068667</v>
      </c>
      <c r="E58" s="354" cm="1">
        <f t="array" ref="E58">SUMPRODUCT(ISNUMBER(SEARCH('18 Clothes Drying Costs'!$D$16:$N$16,'18 Clothes Drying Costs'!G13)) *'18 Clothes Drying Costs'!$D$28:$N$28)</f>
        <v>1819.5174285593303</v>
      </c>
      <c r="F58" s="354" cm="1">
        <f t="array" ref="F58">SUMPRODUCT(ISNUMBER(SEARCH('18 Clothes Drying Costs'!$D$16:$M$16,'18 Clothes Drying Costs'!H13)) *'18 Clothes Drying Costs'!$D$28:$M$28)</f>
        <v>1301.8218722099716</v>
      </c>
      <c r="G58" s="426"/>
      <c r="H58" s="58"/>
      <c r="I58" s="59"/>
      <c r="J58" s="59"/>
      <c r="K58" s="59"/>
      <c r="L58" s="59"/>
      <c r="M58" s="59"/>
      <c r="N58" s="57"/>
      <c r="O58" s="61"/>
      <c r="P58" s="61"/>
      <c r="Q58" s="61"/>
      <c r="R58" s="61"/>
      <c r="S58" s="61"/>
      <c r="T58" s="61"/>
      <c r="U58" s="61"/>
      <c r="V58" s="61"/>
      <c r="W58" s="61"/>
      <c r="X58" s="61"/>
      <c r="Y58" s="61"/>
      <c r="Z58" s="61"/>
      <c r="AA58" s="61"/>
      <c r="AB58" s="61"/>
      <c r="AC58" s="61"/>
      <c r="AD58" s="61"/>
      <c r="AE58" s="61"/>
      <c r="AF58" s="61"/>
      <c r="AG58" s="61"/>
      <c r="AH58" s="61"/>
      <c r="AI58" s="61"/>
      <c r="AJ58" s="61"/>
      <c r="AK58" s="61"/>
      <c r="AL58" s="61"/>
    </row>
    <row r="59" spans="2:38" ht="79.900000000000006" customHeight="1" thickBot="1" x14ac:dyDescent="0.3">
      <c r="B59" s="133"/>
      <c r="C59" s="157"/>
      <c r="D59" s="157"/>
      <c r="E59" s="157"/>
      <c r="F59" s="157"/>
      <c r="G59" s="157"/>
      <c r="H59" s="59"/>
      <c r="I59" s="57"/>
      <c r="J59" s="57"/>
      <c r="K59" s="57"/>
      <c r="L59" s="57"/>
      <c r="M59" s="57"/>
      <c r="N59" s="57"/>
      <c r="O59" s="57"/>
    </row>
    <row r="60" spans="2:38" ht="175.15" customHeight="1" x14ac:dyDescent="0.25">
      <c r="B60" s="1107" t="s">
        <v>546</v>
      </c>
      <c r="C60" s="1108"/>
      <c r="D60" s="1108"/>
      <c r="E60" s="1108"/>
      <c r="F60" s="1109"/>
      <c r="G60" s="365"/>
      <c r="H60" s="72"/>
      <c r="I60" s="57"/>
      <c r="J60" s="57"/>
      <c r="K60" s="57"/>
      <c r="L60" s="57"/>
      <c r="M60" s="57"/>
      <c r="N60" s="57"/>
      <c r="O60" s="57"/>
    </row>
    <row r="61" spans="2:38" ht="79.900000000000006" customHeight="1" x14ac:dyDescent="0.25">
      <c r="B61" s="1140" t="s">
        <v>287</v>
      </c>
      <c r="C61" s="1141"/>
      <c r="D61" s="1138" t="s">
        <v>282</v>
      </c>
      <c r="E61" s="1138"/>
      <c r="F61" s="1139"/>
      <c r="G61" s="151"/>
      <c r="H61" s="57"/>
      <c r="I61" s="57"/>
      <c r="J61" s="57"/>
      <c r="K61" s="57"/>
      <c r="L61" s="57"/>
      <c r="M61" s="57"/>
      <c r="N61" s="57"/>
      <c r="O61" s="57"/>
    </row>
    <row r="62" spans="2:38" ht="199.9" customHeight="1" x14ac:dyDescent="0.25">
      <c r="B62" s="1140"/>
      <c r="C62" s="1141"/>
      <c r="D62" s="147" t="s">
        <v>246</v>
      </c>
      <c r="E62" s="147" t="s">
        <v>242</v>
      </c>
      <c r="F62" s="148" t="s">
        <v>86</v>
      </c>
      <c r="G62" s="72"/>
      <c r="H62" s="57"/>
      <c r="I62" s="57"/>
      <c r="J62" s="57"/>
      <c r="K62" s="57"/>
      <c r="L62" s="57"/>
      <c r="M62" s="57"/>
      <c r="N62" s="57"/>
      <c r="O62" s="57"/>
    </row>
    <row r="63" spans="2:38" ht="199.9" customHeight="1" x14ac:dyDescent="0.25">
      <c r="B63" s="1132" t="s">
        <v>227</v>
      </c>
      <c r="C63" s="147" t="s">
        <v>246</v>
      </c>
      <c r="D63" s="142"/>
      <c r="E63" s="143" cm="1">
        <f t="array" ref="E63">SUMPRODUCT(ISNUMBER(SEARCH('17 Cooking Costs'!$E$18:$J$18, '17 Cooking Costs'!H12)) *'17 Cooking Costs'!$E$30:$J$30)</f>
        <v>1062.3046885513618</v>
      </c>
      <c r="F63" s="143" cm="1">
        <f t="array" ref="F63">SUMPRODUCT(ISNUMBER(SEARCH('17 Cooking Costs'!$E$18:$J$18, '17 Cooking Costs'!I12)) *'17 Cooking Costs'!$E$30:$J$30)</f>
        <v>1062.3046885513618</v>
      </c>
      <c r="G63" s="72"/>
      <c r="H63" s="57"/>
      <c r="I63" s="57"/>
      <c r="J63" s="57"/>
      <c r="K63" s="57"/>
      <c r="L63" s="57"/>
      <c r="M63" s="57"/>
      <c r="N63" s="57"/>
      <c r="O63" s="57"/>
    </row>
    <row r="64" spans="2:38" ht="199.9" customHeight="1" x14ac:dyDescent="0.25">
      <c r="B64" s="1132"/>
      <c r="C64" s="147" t="s">
        <v>242</v>
      </c>
      <c r="D64" s="143" cm="1">
        <f t="array" ref="D64">SUMPRODUCT(ISNUMBER(SEARCH('17 Cooking Costs'!$E$18:$J$18, '17 Cooking Costs'!G13)) *'17 Cooking Costs'!$E$30:$J$30)</f>
        <v>1068.156953068667</v>
      </c>
      <c r="E64" s="142"/>
      <c r="F64" s="143" cm="1">
        <f t="array" ref="F64">SUMPRODUCT(ISNUMBER(SEARCH('17 Cooking Costs'!$E$18:$J$18, '17 Cooking Costs'!I13)) *'17 Cooking Costs'!$E$30:$J$30)</f>
        <v>1270.9731903486759</v>
      </c>
      <c r="G64" s="72"/>
      <c r="H64" s="57"/>
      <c r="I64" s="57"/>
      <c r="J64" s="57"/>
      <c r="K64" s="57"/>
      <c r="L64" s="57"/>
      <c r="M64" s="57"/>
      <c r="N64" s="57"/>
      <c r="O64" s="57"/>
    </row>
    <row r="65" spans="2:15" ht="199.9" customHeight="1" thickBot="1" x14ac:dyDescent="0.3">
      <c r="B65" s="1133"/>
      <c r="C65" s="137" t="s">
        <v>86</v>
      </c>
      <c r="D65" s="143" cm="1">
        <f t="array" ref="D65">SUMPRODUCT(ISNUMBER(SEARCH('17 Cooking Costs'!$E$18:$J$18, '17 Cooking Costs'!G14)) *'17 Cooking Costs'!$E$30:$J$30)</f>
        <v>1068.156953068667</v>
      </c>
      <c r="E65" s="143" cm="1">
        <f t="array" ref="E65">SUMPRODUCT(ISNUMBER(SEARCH('17 Cooking Costs'!$E$18:$J$18, '17 Cooking Costs'!H14)) *'17 Cooking Costs'!$E$30:$J$30)</f>
        <v>1270.9731903486759</v>
      </c>
      <c r="F65" s="142"/>
      <c r="G65" s="72"/>
      <c r="H65" s="57"/>
      <c r="I65" s="57"/>
      <c r="J65" s="57"/>
      <c r="K65" s="57"/>
      <c r="L65" s="57"/>
      <c r="M65" s="57"/>
      <c r="N65" s="57"/>
      <c r="O65" s="57"/>
    </row>
    <row r="66" spans="2:15" x14ac:dyDescent="0.25">
      <c r="B66" s="151"/>
      <c r="C66" s="59"/>
      <c r="D66" s="59"/>
      <c r="E66" s="59"/>
      <c r="F66" s="59"/>
      <c r="G66" s="59"/>
      <c r="H66" s="57"/>
      <c r="I66" s="57"/>
      <c r="J66" s="57"/>
      <c r="K66" s="57"/>
      <c r="L66" s="57"/>
      <c r="M66" s="57"/>
      <c r="N66" s="57"/>
      <c r="O66" s="57"/>
    </row>
    <row r="67" spans="2:15" x14ac:dyDescent="0.25">
      <c r="C67" s="57"/>
      <c r="D67" s="57"/>
      <c r="E67" s="57"/>
      <c r="F67" s="57"/>
      <c r="G67" s="57"/>
      <c r="H67" s="57"/>
      <c r="I67" s="57"/>
      <c r="J67" s="57"/>
      <c r="K67" s="57"/>
      <c r="L67" s="57"/>
      <c r="M67" s="57"/>
      <c r="N67" s="57"/>
      <c r="O67" s="57"/>
    </row>
    <row r="68" spans="2:15" x14ac:dyDescent="0.25">
      <c r="C68" s="57"/>
      <c r="D68" s="57"/>
      <c r="E68" s="57"/>
      <c r="F68" s="57"/>
      <c r="G68" s="57"/>
      <c r="H68" s="57"/>
      <c r="I68" s="57"/>
      <c r="J68" s="57"/>
      <c r="K68" s="57"/>
      <c r="L68" s="57"/>
      <c r="M68" s="57"/>
      <c r="N68" s="57"/>
      <c r="O68" s="57"/>
    </row>
    <row r="69" spans="2:15" x14ac:dyDescent="0.25">
      <c r="C69" s="57"/>
      <c r="D69" s="57"/>
      <c r="E69" s="57"/>
      <c r="F69" s="57"/>
      <c r="G69" s="57"/>
      <c r="H69" s="57"/>
      <c r="I69" s="57"/>
      <c r="J69" s="57"/>
      <c r="K69" s="57"/>
      <c r="L69" s="57"/>
      <c r="M69" s="57"/>
      <c r="N69" s="57"/>
      <c r="O69" s="57"/>
    </row>
    <row r="70" spans="2:15" x14ac:dyDescent="0.25">
      <c r="C70" s="57"/>
      <c r="D70" s="57"/>
      <c r="E70" s="57"/>
      <c r="F70" s="57"/>
      <c r="G70" s="57"/>
      <c r="H70" s="57"/>
      <c r="I70" s="57"/>
      <c r="J70" s="57"/>
      <c r="K70" s="57"/>
      <c r="L70" s="57"/>
      <c r="M70" s="57"/>
      <c r="N70" s="57"/>
      <c r="O70" s="57"/>
    </row>
    <row r="71" spans="2:15" x14ac:dyDescent="0.25">
      <c r="C71" s="57"/>
      <c r="D71" s="57"/>
      <c r="E71" s="57"/>
      <c r="F71" s="57"/>
      <c r="G71" s="57"/>
      <c r="H71" s="57"/>
      <c r="I71" s="57"/>
      <c r="J71" s="57"/>
      <c r="K71" s="57"/>
      <c r="L71" s="57"/>
      <c r="M71" s="57"/>
      <c r="N71" s="57"/>
      <c r="O71" s="57"/>
    </row>
    <row r="72" spans="2:15" x14ac:dyDescent="0.25">
      <c r="C72" s="57"/>
      <c r="D72" s="57"/>
      <c r="E72" s="57"/>
      <c r="F72" s="57"/>
      <c r="G72" s="57"/>
      <c r="H72" s="57"/>
      <c r="I72" s="57"/>
      <c r="J72" s="57"/>
      <c r="K72" s="57"/>
      <c r="L72" s="57"/>
      <c r="M72" s="57"/>
      <c r="N72" s="57"/>
      <c r="O72" s="57"/>
    </row>
    <row r="73" spans="2:15" x14ac:dyDescent="0.25">
      <c r="C73" s="57"/>
      <c r="D73" s="57"/>
      <c r="E73" s="57"/>
      <c r="F73" s="57"/>
      <c r="G73" s="57"/>
      <c r="H73" s="57"/>
      <c r="I73" s="57"/>
      <c r="J73" s="57"/>
      <c r="K73" s="57"/>
      <c r="L73" s="57"/>
      <c r="M73" s="57"/>
      <c r="N73" s="57"/>
      <c r="O73" s="57"/>
    </row>
  </sheetData>
  <mergeCells count="88">
    <mergeCell ref="B63:B65"/>
    <mergeCell ref="B52:G52"/>
    <mergeCell ref="B53:C54"/>
    <mergeCell ref="D53:G53"/>
    <mergeCell ref="B55:B58"/>
    <mergeCell ref="B60:F60"/>
    <mergeCell ref="B61:C62"/>
    <mergeCell ref="D61:F61"/>
    <mergeCell ref="AH7:AS7"/>
    <mergeCell ref="B9:B20"/>
    <mergeCell ref="Q9:Q20"/>
    <mergeCell ref="AF9:AF20"/>
    <mergeCell ref="B7:C8"/>
    <mergeCell ref="D7:O7"/>
    <mergeCell ref="Q7:R8"/>
    <mergeCell ref="S7:AD7"/>
    <mergeCell ref="AF7:AG8"/>
    <mergeCell ref="L1:L3"/>
    <mergeCell ref="C5:O5"/>
    <mergeCell ref="B6:O6"/>
    <mergeCell ref="Q6:AD6"/>
    <mergeCell ref="AF6:AS6"/>
    <mergeCell ref="B22:H22"/>
    <mergeCell ref="Q22:W22"/>
    <mergeCell ref="AF22:AL22"/>
    <mergeCell ref="D23:H23"/>
    <mergeCell ref="S23:W23"/>
    <mergeCell ref="AH23:AL23"/>
    <mergeCell ref="B23:C25"/>
    <mergeCell ref="Q23:R25"/>
    <mergeCell ref="AF23:AG25"/>
    <mergeCell ref="T24:T25"/>
    <mergeCell ref="U24:U25"/>
    <mergeCell ref="V24:V25"/>
    <mergeCell ref="W24:W25"/>
    <mergeCell ref="B32:H32"/>
    <mergeCell ref="Q32:W32"/>
    <mergeCell ref="AF32:AL32"/>
    <mergeCell ref="D24:D25"/>
    <mergeCell ref="E24:E25"/>
    <mergeCell ref="F24:F25"/>
    <mergeCell ref="G24:G25"/>
    <mergeCell ref="H24:H25"/>
    <mergeCell ref="S24:S25"/>
    <mergeCell ref="B26:B30"/>
    <mergeCell ref="Q26:Q30"/>
    <mergeCell ref="AF26:AF30"/>
    <mergeCell ref="B33:C35"/>
    <mergeCell ref="D33:H33"/>
    <mergeCell ref="Q33:R35"/>
    <mergeCell ref="S33:W33"/>
    <mergeCell ref="AF33:AG35"/>
    <mergeCell ref="AH33:AL33"/>
    <mergeCell ref="D34:D35"/>
    <mergeCell ref="E34:E35"/>
    <mergeCell ref="F34:F35"/>
    <mergeCell ref="G34:G35"/>
    <mergeCell ref="H34:H35"/>
    <mergeCell ref="S34:S35"/>
    <mergeCell ref="T34:T35"/>
    <mergeCell ref="U34:U35"/>
    <mergeCell ref="V34:V35"/>
    <mergeCell ref="W34:W35"/>
    <mergeCell ref="Q43:R45"/>
    <mergeCell ref="S43:W43"/>
    <mergeCell ref="AF43:AG45"/>
    <mergeCell ref="B36:B40"/>
    <mergeCell ref="Q36:Q40"/>
    <mergeCell ref="AF36:AF40"/>
    <mergeCell ref="B42:H42"/>
    <mergeCell ref="Q42:W42"/>
    <mergeCell ref="AF42:AL42"/>
    <mergeCell ref="B46:B50"/>
    <mergeCell ref="Q46:Q50"/>
    <mergeCell ref="AF46:AF50"/>
    <mergeCell ref="AH43:AL43"/>
    <mergeCell ref="D44:D45"/>
    <mergeCell ref="E44:E45"/>
    <mergeCell ref="F44:F45"/>
    <mergeCell ref="G44:G45"/>
    <mergeCell ref="H44:H45"/>
    <mergeCell ref="S44:S45"/>
    <mergeCell ref="T44:T45"/>
    <mergeCell ref="U44:U45"/>
    <mergeCell ref="V44:V45"/>
    <mergeCell ref="W44:W45"/>
    <mergeCell ref="B43:C45"/>
    <mergeCell ref="D43:H43"/>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47C0A-0172-45B7-89CB-243666219586}">
  <sheetPr codeName="Sheet27">
    <tabColor rgb="FFF46F3A"/>
  </sheetPr>
  <dimension ref="A1:X54"/>
  <sheetViews>
    <sheetView zoomScale="25" zoomScaleNormal="25" workbookViewId="0">
      <selection sqref="A1:F2"/>
    </sheetView>
  </sheetViews>
  <sheetFormatPr defaultColWidth="9.140625" defaultRowHeight="15" x14ac:dyDescent="0.25"/>
  <cols>
    <col min="1" max="1" width="7.42578125" style="32" customWidth="1"/>
    <col min="2" max="2" width="6" style="32" customWidth="1"/>
    <col min="3" max="3" width="1.28515625" style="243" customWidth="1"/>
    <col min="4" max="4" width="8.7109375" style="32" customWidth="1"/>
    <col min="5" max="6" width="40.7109375" style="32" customWidth="1"/>
    <col min="7" max="17" width="75.7109375" style="32" customWidth="1"/>
    <col min="18" max="23" width="9.140625" style="243"/>
    <col min="24" max="16384" width="9.140625" style="32"/>
  </cols>
  <sheetData>
    <row r="1" spans="1:24" ht="35.25" x14ac:dyDescent="0.5">
      <c r="A1" s="1157" t="s">
        <v>500</v>
      </c>
      <c r="B1" s="1158"/>
      <c r="C1" s="1158"/>
      <c r="D1" s="1158"/>
      <c r="E1" s="1158"/>
      <c r="F1" s="1158"/>
      <c r="H1" s="1079" t="s">
        <v>255</v>
      </c>
      <c r="I1" s="1080"/>
      <c r="J1" s="1081"/>
      <c r="L1" s="1159" t="s">
        <v>516</v>
      </c>
      <c r="M1" s="1077"/>
    </row>
    <row r="2" spans="1:24" ht="34.5" x14ac:dyDescent="0.45">
      <c r="A2" s="1158"/>
      <c r="B2" s="1158"/>
      <c r="C2" s="1158"/>
      <c r="D2" s="1158"/>
      <c r="E2" s="1158"/>
      <c r="F2" s="1158"/>
      <c r="H2" s="1082"/>
      <c r="I2" s="1162" t="s">
        <v>940</v>
      </c>
      <c r="J2" s="1163"/>
      <c r="L2" s="1160"/>
      <c r="M2" s="1077"/>
    </row>
    <row r="3" spans="1:24" ht="34.5" x14ac:dyDescent="0.45">
      <c r="A3" s="467"/>
      <c r="B3" s="360"/>
      <c r="C3" s="360"/>
      <c r="D3" s="360"/>
      <c r="H3" s="5"/>
      <c r="I3" s="386"/>
      <c r="J3" s="5"/>
      <c r="K3" s="5"/>
      <c r="L3" s="1161"/>
      <c r="M3" s="1077"/>
    </row>
    <row r="4" spans="1:24" ht="27" x14ac:dyDescent="0.35">
      <c r="C4" s="32"/>
      <c r="H4" s="3"/>
      <c r="I4" s="386"/>
      <c r="J4" s="5"/>
    </row>
    <row r="5" spans="1:24" ht="113.25" customHeight="1" x14ac:dyDescent="0.25">
      <c r="C5" s="32"/>
      <c r="E5" s="1164" t="s">
        <v>1445</v>
      </c>
      <c r="F5" s="1165"/>
      <c r="G5" s="1165"/>
      <c r="I5" s="262"/>
    </row>
    <row r="6" spans="1:24" s="243" customFormat="1" ht="6.6" customHeight="1" x14ac:dyDescent="0.25">
      <c r="A6" s="32"/>
      <c r="B6" s="32"/>
      <c r="C6" s="249"/>
      <c r="D6" s="384"/>
      <c r="E6" s="382"/>
      <c r="F6" s="385"/>
      <c r="G6" s="32"/>
      <c r="H6" s="32"/>
      <c r="I6" s="384"/>
      <c r="J6" s="382"/>
      <c r="K6" s="246"/>
      <c r="L6" s="246"/>
      <c r="M6" s="246"/>
      <c r="N6" s="246"/>
      <c r="O6" s="246"/>
      <c r="P6" s="246"/>
      <c r="Q6" s="244"/>
      <c r="X6" s="247"/>
    </row>
    <row r="7" spans="1:24" ht="6.6" customHeight="1" thickBot="1" x14ac:dyDescent="0.3">
      <c r="C7" s="383"/>
      <c r="R7" s="247"/>
    </row>
    <row r="8" spans="1:24" ht="99.95" customHeight="1" x14ac:dyDescent="0.25">
      <c r="C8" s="32"/>
      <c r="D8" s="1107" t="s">
        <v>1172</v>
      </c>
      <c r="E8" s="1108"/>
      <c r="F8" s="1108"/>
      <c r="G8" s="1108"/>
      <c r="H8" s="1108"/>
      <c r="I8" s="1108"/>
      <c r="J8" s="1108"/>
      <c r="K8" s="1108"/>
      <c r="L8" s="1108"/>
      <c r="M8" s="1108"/>
      <c r="N8" s="1108"/>
      <c r="O8" s="1108"/>
      <c r="P8" s="1108"/>
      <c r="Q8" s="1109"/>
      <c r="R8" s="247"/>
    </row>
    <row r="9" spans="1:24" ht="50.1" customHeight="1" x14ac:dyDescent="0.25">
      <c r="C9" s="32"/>
      <c r="D9" s="1149" t="s">
        <v>640</v>
      </c>
      <c r="E9" s="1150"/>
      <c r="F9" s="118"/>
      <c r="G9" s="1152" t="s">
        <v>639</v>
      </c>
      <c r="H9" s="1152"/>
      <c r="I9" s="1152"/>
      <c r="J9" s="1152"/>
      <c r="K9" s="1152"/>
      <c r="L9" s="1152"/>
      <c r="M9" s="1152"/>
      <c r="N9" s="1152"/>
      <c r="O9" s="1152"/>
      <c r="P9" s="1152"/>
      <c r="Q9" s="1153"/>
      <c r="R9" s="247"/>
    </row>
    <row r="10" spans="1:24" ht="150" customHeight="1" x14ac:dyDescent="0.25">
      <c r="C10" s="32"/>
      <c r="D10" s="1151"/>
      <c r="E10" s="1150"/>
      <c r="F10" s="119" t="s">
        <v>241</v>
      </c>
      <c r="G10" s="503" t="s">
        <v>242</v>
      </c>
      <c r="H10" s="504" t="s">
        <v>244</v>
      </c>
      <c r="I10" s="504" t="s">
        <v>242</v>
      </c>
      <c r="J10" s="504" t="s">
        <v>244</v>
      </c>
      <c r="K10" s="182" t="s">
        <v>246</v>
      </c>
      <c r="L10" s="182" t="s">
        <v>246</v>
      </c>
      <c r="M10" s="182" t="s">
        <v>246</v>
      </c>
      <c r="N10" s="182" t="s">
        <v>246</v>
      </c>
      <c r="O10" s="182" t="s">
        <v>246</v>
      </c>
      <c r="P10" s="182" t="s">
        <v>86</v>
      </c>
      <c r="Q10" s="381" t="s">
        <v>252</v>
      </c>
      <c r="R10" s="247"/>
      <c r="V10" s="32"/>
      <c r="W10" s="32"/>
    </row>
    <row r="11" spans="1:24" ht="110.45" customHeight="1" x14ac:dyDescent="0.25">
      <c r="C11" s="32"/>
      <c r="D11" s="120"/>
      <c r="E11" s="119" t="s">
        <v>241</v>
      </c>
      <c r="F11" s="121" t="s">
        <v>150</v>
      </c>
      <c r="G11" s="181" t="s">
        <v>243</v>
      </c>
      <c r="H11" s="182" t="s">
        <v>243</v>
      </c>
      <c r="I11" s="182" t="s">
        <v>245</v>
      </c>
      <c r="J11" s="182" t="s">
        <v>245</v>
      </c>
      <c r="K11" s="182" t="s">
        <v>243</v>
      </c>
      <c r="L11" s="504" t="s">
        <v>254</v>
      </c>
      <c r="M11" s="504" t="s">
        <v>248</v>
      </c>
      <c r="N11" s="504" t="s">
        <v>249</v>
      </c>
      <c r="O11" s="504" t="s">
        <v>250</v>
      </c>
      <c r="P11" s="182" t="s">
        <v>251</v>
      </c>
      <c r="Q11" s="381" t="s">
        <v>253</v>
      </c>
      <c r="R11" s="247"/>
      <c r="V11" s="32"/>
      <c r="W11" s="32"/>
    </row>
    <row r="12" spans="1:24" ht="249.95" customHeight="1" x14ac:dyDescent="0.25">
      <c r="C12" s="32"/>
      <c r="D12" s="1154" t="s">
        <v>688</v>
      </c>
      <c r="E12" s="503" t="s">
        <v>242</v>
      </c>
      <c r="F12" s="181" t="s">
        <v>243</v>
      </c>
      <c r="G12" s="496" t="s">
        <v>203</v>
      </c>
      <c r="H12" s="491" t="s">
        <v>746</v>
      </c>
      <c r="I12" s="491" t="s">
        <v>689</v>
      </c>
      <c r="J12" s="491" t="s">
        <v>690</v>
      </c>
      <c r="K12" s="491" t="s">
        <v>691</v>
      </c>
      <c r="L12" s="492" t="s">
        <v>692</v>
      </c>
      <c r="M12" s="491" t="s">
        <v>954</v>
      </c>
      <c r="N12" s="491" t="s">
        <v>1016</v>
      </c>
      <c r="O12" s="491" t="s">
        <v>996</v>
      </c>
      <c r="P12" s="491" t="s">
        <v>1039</v>
      </c>
      <c r="Q12" s="498" t="s">
        <v>1042</v>
      </c>
      <c r="R12" s="247"/>
    </row>
    <row r="13" spans="1:24" ht="249.95" customHeight="1" x14ac:dyDescent="0.25">
      <c r="C13" s="32"/>
      <c r="D13" s="1155"/>
      <c r="E13" s="504" t="s">
        <v>244</v>
      </c>
      <c r="F13" s="182" t="s">
        <v>243</v>
      </c>
      <c r="G13" s="492" t="s">
        <v>1124</v>
      </c>
      <c r="H13" s="496" t="s">
        <v>203</v>
      </c>
      <c r="I13" s="492" t="s">
        <v>693</v>
      </c>
      <c r="J13" s="492" t="s">
        <v>694</v>
      </c>
      <c r="K13" s="492" t="s">
        <v>695</v>
      </c>
      <c r="L13" s="492" t="s">
        <v>696</v>
      </c>
      <c r="M13" s="492" t="s">
        <v>955</v>
      </c>
      <c r="N13" s="492" t="s">
        <v>1017</v>
      </c>
      <c r="O13" s="492" t="s">
        <v>997</v>
      </c>
      <c r="P13" s="499" t="s">
        <v>1130</v>
      </c>
      <c r="Q13" s="498" t="s">
        <v>1043</v>
      </c>
      <c r="R13" s="247"/>
    </row>
    <row r="14" spans="1:24" ht="249.95" customHeight="1" x14ac:dyDescent="0.25">
      <c r="C14" s="32"/>
      <c r="D14" s="1155"/>
      <c r="E14" s="504" t="s">
        <v>242</v>
      </c>
      <c r="F14" s="182" t="s">
        <v>245</v>
      </c>
      <c r="G14" s="492" t="s">
        <v>801</v>
      </c>
      <c r="H14" s="492" t="s">
        <v>802</v>
      </c>
      <c r="I14" s="496" t="s">
        <v>203</v>
      </c>
      <c r="J14" s="492" t="s">
        <v>803</v>
      </c>
      <c r="K14" s="492" t="s">
        <v>804</v>
      </c>
      <c r="L14" s="492" t="s">
        <v>805</v>
      </c>
      <c r="M14" s="492" t="s">
        <v>1034</v>
      </c>
      <c r="N14" s="492" t="s">
        <v>1018</v>
      </c>
      <c r="O14" s="492" t="s">
        <v>998</v>
      </c>
      <c r="P14" s="492" t="s">
        <v>806</v>
      </c>
      <c r="Q14" s="498" t="s">
        <v>1044</v>
      </c>
      <c r="R14" s="247"/>
    </row>
    <row r="15" spans="1:24" ht="249.95" customHeight="1" x14ac:dyDescent="0.25">
      <c r="C15" s="32"/>
      <c r="D15" s="1155"/>
      <c r="E15" s="504" t="s">
        <v>244</v>
      </c>
      <c r="F15" s="182" t="s">
        <v>245</v>
      </c>
      <c r="G15" s="500" t="s">
        <v>1040</v>
      </c>
      <c r="H15" s="492" t="s">
        <v>697</v>
      </c>
      <c r="I15" s="492" t="s">
        <v>698</v>
      </c>
      <c r="J15" s="496" t="s">
        <v>203</v>
      </c>
      <c r="K15" s="492" t="s">
        <v>699</v>
      </c>
      <c r="L15" s="492" t="s">
        <v>700</v>
      </c>
      <c r="M15" s="492" t="s">
        <v>956</v>
      </c>
      <c r="N15" s="492" t="s">
        <v>1142</v>
      </c>
      <c r="O15" s="492" t="s">
        <v>999</v>
      </c>
      <c r="P15" s="492" t="s">
        <v>701</v>
      </c>
      <c r="Q15" s="498" t="s">
        <v>1045</v>
      </c>
      <c r="R15" s="247"/>
    </row>
    <row r="16" spans="1:24" ht="249.95" customHeight="1" x14ac:dyDescent="0.25">
      <c r="C16" s="32"/>
      <c r="D16" s="1155"/>
      <c r="E16" s="182" t="s">
        <v>246</v>
      </c>
      <c r="F16" s="182" t="s">
        <v>243</v>
      </c>
      <c r="G16" s="492" t="s">
        <v>702</v>
      </c>
      <c r="H16" s="492" t="s">
        <v>703</v>
      </c>
      <c r="I16" s="492" t="s">
        <v>704</v>
      </c>
      <c r="J16" s="492" t="s">
        <v>705</v>
      </c>
      <c r="K16" s="496" t="s">
        <v>203</v>
      </c>
      <c r="L16" s="492" t="s">
        <v>706</v>
      </c>
      <c r="M16" s="492" t="s">
        <v>969</v>
      </c>
      <c r="N16" s="492" t="s">
        <v>1019</v>
      </c>
      <c r="O16" s="492" t="s">
        <v>1000</v>
      </c>
      <c r="P16" s="492" t="s">
        <v>707</v>
      </c>
      <c r="Q16" s="498" t="s">
        <v>1131</v>
      </c>
      <c r="R16" s="247"/>
    </row>
    <row r="17" spans="1:24" s="243" customFormat="1" ht="249.95" customHeight="1" x14ac:dyDescent="0.25">
      <c r="A17" s="32"/>
      <c r="B17" s="32"/>
      <c r="C17" s="32"/>
      <c r="D17" s="1155"/>
      <c r="E17" s="182" t="s">
        <v>246</v>
      </c>
      <c r="F17" s="182" t="s">
        <v>247</v>
      </c>
      <c r="G17" s="492" t="s">
        <v>708</v>
      </c>
      <c r="H17" s="492" t="s">
        <v>709</v>
      </c>
      <c r="I17" s="492" t="s">
        <v>710</v>
      </c>
      <c r="J17" s="491" t="s">
        <v>711</v>
      </c>
      <c r="K17" s="492" t="s">
        <v>712</v>
      </c>
      <c r="L17" s="496" t="s">
        <v>203</v>
      </c>
      <c r="M17" s="492" t="s">
        <v>957</v>
      </c>
      <c r="N17" s="492" t="s">
        <v>1020</v>
      </c>
      <c r="O17" s="492" t="s">
        <v>1001</v>
      </c>
      <c r="P17" s="492" t="s">
        <v>713</v>
      </c>
      <c r="Q17" s="498" t="s">
        <v>1132</v>
      </c>
      <c r="R17" s="247"/>
      <c r="X17" s="247"/>
    </row>
    <row r="18" spans="1:24" s="405" customFormat="1" ht="249.95" customHeight="1" x14ac:dyDescent="0.65">
      <c r="A18" s="32"/>
      <c r="B18" s="32"/>
      <c r="C18" s="32"/>
      <c r="D18" s="1155"/>
      <c r="E18" s="182" t="s">
        <v>246</v>
      </c>
      <c r="F18" s="504" t="s">
        <v>248</v>
      </c>
      <c r="G18" s="491" t="s">
        <v>714</v>
      </c>
      <c r="H18" s="491" t="s">
        <v>715</v>
      </c>
      <c r="I18" s="492" t="s">
        <v>716</v>
      </c>
      <c r="J18" s="491" t="s">
        <v>717</v>
      </c>
      <c r="K18" s="491" t="s">
        <v>718</v>
      </c>
      <c r="L18" s="491" t="s">
        <v>719</v>
      </c>
      <c r="M18" s="496" t="s">
        <v>203</v>
      </c>
      <c r="N18" s="491" t="s">
        <v>1021</v>
      </c>
      <c r="O18" s="491" t="s">
        <v>1002</v>
      </c>
      <c r="P18" s="491" t="s">
        <v>720</v>
      </c>
      <c r="Q18" s="498" t="s">
        <v>1133</v>
      </c>
      <c r="R18" s="407"/>
      <c r="S18" s="406"/>
      <c r="T18" s="406"/>
      <c r="U18" s="406"/>
      <c r="V18" s="406"/>
      <c r="W18" s="406"/>
    </row>
    <row r="19" spans="1:24" ht="249.95" customHeight="1" x14ac:dyDescent="0.25">
      <c r="C19" s="32"/>
      <c r="D19" s="1155"/>
      <c r="E19" s="182" t="s">
        <v>246</v>
      </c>
      <c r="F19" s="504" t="s">
        <v>249</v>
      </c>
      <c r="G19" s="491" t="s">
        <v>721</v>
      </c>
      <c r="H19" s="491" t="s">
        <v>722</v>
      </c>
      <c r="I19" s="492" t="s">
        <v>723</v>
      </c>
      <c r="J19" s="491" t="s">
        <v>724</v>
      </c>
      <c r="K19" s="491" t="s">
        <v>725</v>
      </c>
      <c r="L19" s="502" t="s">
        <v>726</v>
      </c>
      <c r="M19" s="491" t="s">
        <v>1145</v>
      </c>
      <c r="N19" s="496" t="s">
        <v>203</v>
      </c>
      <c r="O19" s="491" t="s">
        <v>1003</v>
      </c>
      <c r="P19" s="491" t="s">
        <v>727</v>
      </c>
      <c r="Q19" s="498" t="s">
        <v>1046</v>
      </c>
      <c r="R19" s="247"/>
    </row>
    <row r="20" spans="1:24" ht="249.95" customHeight="1" x14ac:dyDescent="0.25">
      <c r="C20" s="32"/>
      <c r="D20" s="1155"/>
      <c r="E20" s="182" t="s">
        <v>246</v>
      </c>
      <c r="F20" s="504" t="s">
        <v>250</v>
      </c>
      <c r="G20" s="491" t="s">
        <v>728</v>
      </c>
      <c r="H20" s="491" t="s">
        <v>729</v>
      </c>
      <c r="I20" s="491" t="s">
        <v>730</v>
      </c>
      <c r="J20" s="491" t="s">
        <v>731</v>
      </c>
      <c r="K20" s="491" t="s">
        <v>732</v>
      </c>
      <c r="L20" s="491" t="s">
        <v>733</v>
      </c>
      <c r="M20" s="491" t="s">
        <v>958</v>
      </c>
      <c r="N20" s="491" t="s">
        <v>1022</v>
      </c>
      <c r="O20" s="496" t="s">
        <v>203</v>
      </c>
      <c r="P20" s="491" t="s">
        <v>734</v>
      </c>
      <c r="Q20" s="498" t="s">
        <v>1136</v>
      </c>
      <c r="R20" s="247"/>
    </row>
    <row r="21" spans="1:24" ht="249.95" customHeight="1" x14ac:dyDescent="0.25">
      <c r="C21" s="32"/>
      <c r="D21" s="1155"/>
      <c r="E21" s="182" t="s">
        <v>86</v>
      </c>
      <c r="F21" s="182" t="s">
        <v>251</v>
      </c>
      <c r="G21" s="492" t="s">
        <v>1129</v>
      </c>
      <c r="H21" s="492" t="s">
        <v>735</v>
      </c>
      <c r="I21" s="492" t="s">
        <v>994</v>
      </c>
      <c r="J21" s="492" t="s">
        <v>736</v>
      </c>
      <c r="K21" s="492" t="s">
        <v>737</v>
      </c>
      <c r="L21" s="492" t="s">
        <v>738</v>
      </c>
      <c r="M21" s="492" t="s">
        <v>959</v>
      </c>
      <c r="N21" s="492" t="s">
        <v>1023</v>
      </c>
      <c r="O21" s="492" t="s">
        <v>1004</v>
      </c>
      <c r="P21" s="497" t="s">
        <v>203</v>
      </c>
      <c r="Q21" s="498" t="s">
        <v>1047</v>
      </c>
      <c r="R21" s="247"/>
    </row>
    <row r="22" spans="1:24" ht="249.95" customHeight="1" thickBot="1" x14ac:dyDescent="0.3">
      <c r="C22" s="32"/>
      <c r="D22" s="1156"/>
      <c r="E22" s="366" t="s">
        <v>252</v>
      </c>
      <c r="F22" s="366" t="s">
        <v>253</v>
      </c>
      <c r="G22" s="501" t="s">
        <v>739</v>
      </c>
      <c r="H22" s="501" t="s">
        <v>740</v>
      </c>
      <c r="I22" s="501" t="s">
        <v>741</v>
      </c>
      <c r="J22" s="501" t="s">
        <v>742</v>
      </c>
      <c r="K22" s="501" t="s">
        <v>743</v>
      </c>
      <c r="L22" s="501" t="s">
        <v>744</v>
      </c>
      <c r="M22" s="501" t="s">
        <v>960</v>
      </c>
      <c r="N22" s="501" t="s">
        <v>1024</v>
      </c>
      <c r="O22" s="501" t="s">
        <v>1005</v>
      </c>
      <c r="P22" s="501" t="s">
        <v>745</v>
      </c>
      <c r="Q22" s="495" t="s">
        <v>203</v>
      </c>
      <c r="R22" s="247"/>
    </row>
    <row r="23" spans="1:24" ht="249.95" customHeight="1" thickBot="1" x14ac:dyDescent="0.3">
      <c r="C23" s="32"/>
      <c r="Q23" s="494"/>
      <c r="R23" s="247"/>
    </row>
    <row r="24" spans="1:24" ht="99.95" customHeight="1" x14ac:dyDescent="0.25">
      <c r="C24" s="32"/>
      <c r="D24" s="1107" t="s">
        <v>865</v>
      </c>
      <c r="E24" s="1108"/>
      <c r="F24" s="1108"/>
      <c r="G24" s="1108"/>
      <c r="H24" s="1108"/>
      <c r="I24" s="1108"/>
      <c r="J24" s="1108"/>
      <c r="K24" s="1108"/>
      <c r="L24" s="1108"/>
      <c r="M24" s="1108"/>
      <c r="N24" s="1108"/>
      <c r="O24" s="1108"/>
      <c r="P24" s="1108"/>
      <c r="Q24" s="1109"/>
      <c r="R24" s="247"/>
    </row>
    <row r="25" spans="1:24" ht="50.1" customHeight="1" x14ac:dyDescent="0.25">
      <c r="C25" s="32"/>
      <c r="D25" s="1149" t="s">
        <v>640</v>
      </c>
      <c r="E25" s="1150"/>
      <c r="F25" s="118"/>
      <c r="G25" s="1152" t="s">
        <v>639</v>
      </c>
      <c r="H25" s="1152"/>
      <c r="I25" s="1152"/>
      <c r="J25" s="1152"/>
      <c r="K25" s="1152"/>
      <c r="L25" s="1152"/>
      <c r="M25" s="1152"/>
      <c r="N25" s="1152"/>
      <c r="O25" s="1152"/>
      <c r="P25" s="1152"/>
      <c r="Q25" s="1153"/>
      <c r="R25" s="247"/>
    </row>
    <row r="26" spans="1:24" ht="150" customHeight="1" x14ac:dyDescent="0.25">
      <c r="C26" s="32"/>
      <c r="D26" s="1151"/>
      <c r="E26" s="1150"/>
      <c r="F26" s="119" t="s">
        <v>241</v>
      </c>
      <c r="G26" s="503" t="s">
        <v>242</v>
      </c>
      <c r="H26" s="504" t="s">
        <v>244</v>
      </c>
      <c r="I26" s="504" t="s">
        <v>242</v>
      </c>
      <c r="J26" s="504" t="s">
        <v>244</v>
      </c>
      <c r="K26" s="182" t="s">
        <v>246</v>
      </c>
      <c r="L26" s="182" t="s">
        <v>246</v>
      </c>
      <c r="M26" s="182" t="s">
        <v>246</v>
      </c>
      <c r="N26" s="182" t="s">
        <v>246</v>
      </c>
      <c r="O26" s="182" t="s">
        <v>246</v>
      </c>
      <c r="P26" s="182" t="s">
        <v>86</v>
      </c>
      <c r="Q26" s="381" t="s">
        <v>252</v>
      </c>
      <c r="R26" s="245"/>
      <c r="S26" s="246"/>
      <c r="T26" s="246"/>
      <c r="U26" s="246"/>
      <c r="V26" s="246"/>
      <c r="W26" s="246"/>
    </row>
    <row r="27" spans="1:24" s="243" customFormat="1" ht="110.1" customHeight="1" x14ac:dyDescent="0.25">
      <c r="A27" s="32"/>
      <c r="B27" s="32"/>
      <c r="C27" s="32"/>
      <c r="D27" s="120"/>
      <c r="E27" s="119" t="s">
        <v>241</v>
      </c>
      <c r="F27" s="121" t="s">
        <v>150</v>
      </c>
      <c r="G27" s="181" t="s">
        <v>243</v>
      </c>
      <c r="H27" s="182" t="s">
        <v>243</v>
      </c>
      <c r="I27" s="182" t="s">
        <v>245</v>
      </c>
      <c r="J27" s="182" t="s">
        <v>245</v>
      </c>
      <c r="K27" s="182" t="s">
        <v>243</v>
      </c>
      <c r="L27" s="504" t="s">
        <v>254</v>
      </c>
      <c r="M27" s="504" t="s">
        <v>248</v>
      </c>
      <c r="N27" s="504" t="s">
        <v>249</v>
      </c>
      <c r="O27" s="504" t="s">
        <v>250</v>
      </c>
      <c r="P27" s="182" t="s">
        <v>251</v>
      </c>
      <c r="Q27" s="381" t="s">
        <v>253</v>
      </c>
      <c r="R27" s="247"/>
    </row>
    <row r="28" spans="1:24" ht="249.95" customHeight="1" x14ac:dyDescent="0.25">
      <c r="C28" s="32"/>
      <c r="D28" s="1154" t="s">
        <v>688</v>
      </c>
      <c r="E28" s="503" t="s">
        <v>242</v>
      </c>
      <c r="F28" s="181" t="s">
        <v>243</v>
      </c>
      <c r="G28" s="496" t="s">
        <v>203</v>
      </c>
      <c r="H28" s="491" t="s">
        <v>750</v>
      </c>
      <c r="I28" s="491" t="s">
        <v>751</v>
      </c>
      <c r="J28" s="491" t="s">
        <v>752</v>
      </c>
      <c r="K28" s="491" t="s">
        <v>753</v>
      </c>
      <c r="L28" s="492" t="s">
        <v>754</v>
      </c>
      <c r="M28" s="491" t="s">
        <v>961</v>
      </c>
      <c r="N28" s="491" t="s">
        <v>1025</v>
      </c>
      <c r="O28" s="491" t="s">
        <v>1006</v>
      </c>
      <c r="P28" s="491" t="s">
        <v>1035</v>
      </c>
      <c r="Q28" s="498" t="s">
        <v>1048</v>
      </c>
      <c r="R28" s="249"/>
      <c r="S28" s="250"/>
      <c r="T28" s="250"/>
      <c r="U28" s="250"/>
      <c r="V28" s="250"/>
      <c r="W28" s="250"/>
    </row>
    <row r="29" spans="1:24" ht="249.95" customHeight="1" x14ac:dyDescent="0.25">
      <c r="C29" s="32"/>
      <c r="D29" s="1155"/>
      <c r="E29" s="504" t="s">
        <v>244</v>
      </c>
      <c r="F29" s="182" t="s">
        <v>243</v>
      </c>
      <c r="G29" s="492" t="s">
        <v>1125</v>
      </c>
      <c r="H29" s="496" t="s">
        <v>203</v>
      </c>
      <c r="I29" s="492" t="s">
        <v>755</v>
      </c>
      <c r="J29" s="492" t="s">
        <v>756</v>
      </c>
      <c r="K29" s="492" t="s">
        <v>757</v>
      </c>
      <c r="L29" s="492" t="s">
        <v>758</v>
      </c>
      <c r="M29" s="492" t="s">
        <v>962</v>
      </c>
      <c r="N29" s="492" t="s">
        <v>1026</v>
      </c>
      <c r="O29" s="492" t="s">
        <v>1007</v>
      </c>
      <c r="P29" s="499" t="s">
        <v>1134</v>
      </c>
      <c r="Q29" s="498" t="s">
        <v>1049</v>
      </c>
      <c r="R29" s="247"/>
    </row>
    <row r="30" spans="1:24" ht="249.95" customHeight="1" x14ac:dyDescent="0.25">
      <c r="C30" s="32"/>
      <c r="D30" s="1155"/>
      <c r="E30" s="504" t="s">
        <v>242</v>
      </c>
      <c r="F30" s="182" t="s">
        <v>245</v>
      </c>
      <c r="G30" s="492" t="s">
        <v>759</v>
      </c>
      <c r="H30" s="492" t="s">
        <v>760</v>
      </c>
      <c r="I30" s="496" t="s">
        <v>203</v>
      </c>
      <c r="J30" s="492" t="s">
        <v>761</v>
      </c>
      <c r="K30" s="492" t="s">
        <v>762</v>
      </c>
      <c r="L30" s="492" t="s">
        <v>763</v>
      </c>
      <c r="M30" s="492" t="s">
        <v>1036</v>
      </c>
      <c r="N30" s="492" t="s">
        <v>1027</v>
      </c>
      <c r="O30" s="492" t="s">
        <v>1008</v>
      </c>
      <c r="P30" s="492" t="s">
        <v>764</v>
      </c>
      <c r="Q30" s="498" t="s">
        <v>1050</v>
      </c>
      <c r="R30" s="247"/>
    </row>
    <row r="31" spans="1:24" ht="249.95" customHeight="1" x14ac:dyDescent="0.25">
      <c r="C31" s="32"/>
      <c r="D31" s="1155"/>
      <c r="E31" s="504" t="s">
        <v>244</v>
      </c>
      <c r="F31" s="182" t="s">
        <v>245</v>
      </c>
      <c r="G31" s="500" t="s">
        <v>769</v>
      </c>
      <c r="H31" s="492" t="s">
        <v>770</v>
      </c>
      <c r="I31" s="492" t="s">
        <v>771</v>
      </c>
      <c r="J31" s="496" t="s">
        <v>203</v>
      </c>
      <c r="K31" s="492" t="s">
        <v>772</v>
      </c>
      <c r="L31" s="492" t="s">
        <v>773</v>
      </c>
      <c r="M31" s="492" t="s">
        <v>963</v>
      </c>
      <c r="N31" s="492" t="s">
        <v>1143</v>
      </c>
      <c r="O31" s="492" t="s">
        <v>1009</v>
      </c>
      <c r="P31" s="492" t="s">
        <v>774</v>
      </c>
      <c r="Q31" s="498" t="s">
        <v>1051</v>
      </c>
      <c r="R31" s="247"/>
    </row>
    <row r="32" spans="1:24" ht="249.95" customHeight="1" x14ac:dyDescent="0.25">
      <c r="C32" s="32"/>
      <c r="D32" s="1155"/>
      <c r="E32" s="182" t="s">
        <v>246</v>
      </c>
      <c r="F32" s="182" t="s">
        <v>243</v>
      </c>
      <c r="G32" s="492" t="s">
        <v>702</v>
      </c>
      <c r="H32" s="492" t="s">
        <v>703</v>
      </c>
      <c r="I32" s="492" t="s">
        <v>704</v>
      </c>
      <c r="J32" s="492" t="s">
        <v>705</v>
      </c>
      <c r="K32" s="496" t="s">
        <v>203</v>
      </c>
      <c r="L32" s="492" t="s">
        <v>706</v>
      </c>
      <c r="M32" s="492" t="s">
        <v>969</v>
      </c>
      <c r="N32" s="492" t="s">
        <v>1019</v>
      </c>
      <c r="O32" s="492" t="s">
        <v>1000</v>
      </c>
      <c r="P32" s="492" t="s">
        <v>707</v>
      </c>
      <c r="Q32" s="498" t="s">
        <v>1131</v>
      </c>
      <c r="R32" s="247"/>
    </row>
    <row r="33" spans="3:18" ht="249.95" customHeight="1" x14ac:dyDescent="0.25">
      <c r="C33" s="32"/>
      <c r="D33" s="1155"/>
      <c r="E33" s="182" t="s">
        <v>246</v>
      </c>
      <c r="F33" s="182" t="s">
        <v>247</v>
      </c>
      <c r="G33" s="492" t="s">
        <v>708</v>
      </c>
      <c r="H33" s="492" t="s">
        <v>709</v>
      </c>
      <c r="I33" s="492" t="s">
        <v>710</v>
      </c>
      <c r="J33" s="491" t="s">
        <v>711</v>
      </c>
      <c r="K33" s="492" t="s">
        <v>712</v>
      </c>
      <c r="L33" s="496" t="s">
        <v>203</v>
      </c>
      <c r="M33" s="492" t="s">
        <v>957</v>
      </c>
      <c r="N33" s="492" t="s">
        <v>1020</v>
      </c>
      <c r="O33" s="492" t="s">
        <v>1001</v>
      </c>
      <c r="P33" s="492" t="s">
        <v>713</v>
      </c>
      <c r="Q33" s="498" t="s">
        <v>1132</v>
      </c>
      <c r="R33" s="247"/>
    </row>
    <row r="34" spans="3:18" ht="249.95" customHeight="1" x14ac:dyDescent="0.25">
      <c r="C34" s="32"/>
      <c r="D34" s="1155"/>
      <c r="E34" s="182" t="s">
        <v>246</v>
      </c>
      <c r="F34" s="504" t="s">
        <v>248</v>
      </c>
      <c r="G34" s="491" t="s">
        <v>714</v>
      </c>
      <c r="H34" s="491" t="s">
        <v>715</v>
      </c>
      <c r="I34" s="492" t="s">
        <v>716</v>
      </c>
      <c r="J34" s="491" t="s">
        <v>717</v>
      </c>
      <c r="K34" s="491" t="s">
        <v>718</v>
      </c>
      <c r="L34" s="491" t="s">
        <v>719</v>
      </c>
      <c r="M34" s="496" t="s">
        <v>203</v>
      </c>
      <c r="N34" s="491" t="s">
        <v>1021</v>
      </c>
      <c r="O34" s="491" t="s">
        <v>1002</v>
      </c>
      <c r="P34" s="491" t="s">
        <v>720</v>
      </c>
      <c r="Q34" s="498" t="s">
        <v>1133</v>
      </c>
      <c r="R34" s="247"/>
    </row>
    <row r="35" spans="3:18" ht="249.95" customHeight="1" x14ac:dyDescent="0.25">
      <c r="C35" s="32"/>
      <c r="D35" s="1155"/>
      <c r="E35" s="182" t="s">
        <v>246</v>
      </c>
      <c r="F35" s="504" t="s">
        <v>249</v>
      </c>
      <c r="G35" s="491" t="s">
        <v>721</v>
      </c>
      <c r="H35" s="491" t="s">
        <v>722</v>
      </c>
      <c r="I35" s="492" t="s">
        <v>723</v>
      </c>
      <c r="J35" s="491" t="s">
        <v>724</v>
      </c>
      <c r="K35" s="491" t="s">
        <v>725</v>
      </c>
      <c r="L35" s="502" t="s">
        <v>726</v>
      </c>
      <c r="M35" s="491" t="s">
        <v>1145</v>
      </c>
      <c r="N35" s="496" t="s">
        <v>203</v>
      </c>
      <c r="O35" s="491" t="s">
        <v>1003</v>
      </c>
      <c r="P35" s="491" t="s">
        <v>727</v>
      </c>
      <c r="Q35" s="498" t="s">
        <v>1046</v>
      </c>
      <c r="R35" s="247"/>
    </row>
    <row r="36" spans="3:18" ht="249.95" customHeight="1" x14ac:dyDescent="0.25">
      <c r="C36" s="32"/>
      <c r="D36" s="1155"/>
      <c r="E36" s="182" t="s">
        <v>246</v>
      </c>
      <c r="F36" s="504" t="s">
        <v>250</v>
      </c>
      <c r="G36" s="491" t="s">
        <v>728</v>
      </c>
      <c r="H36" s="491" t="s">
        <v>729</v>
      </c>
      <c r="I36" s="491" t="s">
        <v>730</v>
      </c>
      <c r="J36" s="491" t="s">
        <v>731</v>
      </c>
      <c r="K36" s="491" t="s">
        <v>732</v>
      </c>
      <c r="L36" s="491" t="s">
        <v>733</v>
      </c>
      <c r="M36" s="491" t="s">
        <v>958</v>
      </c>
      <c r="N36" s="491" t="s">
        <v>1022</v>
      </c>
      <c r="O36" s="496" t="s">
        <v>203</v>
      </c>
      <c r="P36" s="491" t="s">
        <v>734</v>
      </c>
      <c r="Q36" s="498" t="s">
        <v>1136</v>
      </c>
      <c r="R36" s="247"/>
    </row>
    <row r="37" spans="3:18" ht="249.95" customHeight="1" x14ac:dyDescent="0.25">
      <c r="C37" s="32"/>
      <c r="D37" s="1155"/>
      <c r="E37" s="182" t="s">
        <v>86</v>
      </c>
      <c r="F37" s="182" t="s">
        <v>251</v>
      </c>
      <c r="G37" s="492" t="s">
        <v>1128</v>
      </c>
      <c r="H37" s="492" t="s">
        <v>765</v>
      </c>
      <c r="I37" s="492" t="s">
        <v>995</v>
      </c>
      <c r="J37" s="492" t="s">
        <v>766</v>
      </c>
      <c r="K37" s="492" t="s">
        <v>767</v>
      </c>
      <c r="L37" s="492" t="s">
        <v>768</v>
      </c>
      <c r="M37" s="492" t="s">
        <v>964</v>
      </c>
      <c r="N37" s="492" t="s">
        <v>1028</v>
      </c>
      <c r="O37" s="492" t="s">
        <v>1010</v>
      </c>
      <c r="P37" s="497" t="s">
        <v>203</v>
      </c>
      <c r="Q37" s="498" t="s">
        <v>1052</v>
      </c>
      <c r="R37" s="247"/>
    </row>
    <row r="38" spans="3:18" ht="249.95" customHeight="1" thickBot="1" x14ac:dyDescent="0.3">
      <c r="C38" s="32"/>
      <c r="D38" s="1156"/>
      <c r="E38" s="366" t="s">
        <v>252</v>
      </c>
      <c r="F38" s="366" t="s">
        <v>253</v>
      </c>
      <c r="G38" s="501" t="s">
        <v>739</v>
      </c>
      <c r="H38" s="501" t="s">
        <v>740</v>
      </c>
      <c r="I38" s="501" t="s">
        <v>741</v>
      </c>
      <c r="J38" s="501" t="s">
        <v>742</v>
      </c>
      <c r="K38" s="501" t="s">
        <v>743</v>
      </c>
      <c r="L38" s="501" t="s">
        <v>744</v>
      </c>
      <c r="M38" s="501" t="s">
        <v>960</v>
      </c>
      <c r="N38" s="501" t="s">
        <v>1024</v>
      </c>
      <c r="O38" s="501" t="s">
        <v>1005</v>
      </c>
      <c r="P38" s="501" t="s">
        <v>745</v>
      </c>
      <c r="Q38" s="495" t="s">
        <v>203</v>
      </c>
      <c r="R38" s="247"/>
    </row>
    <row r="39" spans="3:18" ht="249.95" customHeight="1" thickBot="1" x14ac:dyDescent="0.3">
      <c r="C39" s="32"/>
      <c r="Q39" s="494"/>
      <c r="R39" s="247"/>
    </row>
    <row r="40" spans="3:18" ht="99.95" customHeight="1" x14ac:dyDescent="0.25">
      <c r="C40" s="248"/>
      <c r="D40" s="1107" t="s">
        <v>866</v>
      </c>
      <c r="E40" s="1108"/>
      <c r="F40" s="1108"/>
      <c r="G40" s="1108"/>
      <c r="H40" s="1108"/>
      <c r="I40" s="1108"/>
      <c r="J40" s="1108"/>
      <c r="K40" s="1108"/>
      <c r="L40" s="1108"/>
      <c r="M40" s="1108"/>
      <c r="N40" s="1108"/>
      <c r="O40" s="1108"/>
      <c r="P40" s="1108"/>
      <c r="Q40" s="1109"/>
      <c r="R40" s="247"/>
    </row>
    <row r="41" spans="3:18" ht="50.1" customHeight="1" x14ac:dyDescent="0.25">
      <c r="D41" s="1149" t="s">
        <v>640</v>
      </c>
      <c r="E41" s="1150"/>
      <c r="F41" s="118"/>
      <c r="G41" s="1152" t="s">
        <v>639</v>
      </c>
      <c r="H41" s="1152"/>
      <c r="I41" s="1152"/>
      <c r="J41" s="1152"/>
      <c r="K41" s="1152"/>
      <c r="L41" s="1152"/>
      <c r="M41" s="1152"/>
      <c r="N41" s="1152"/>
      <c r="O41" s="1152"/>
      <c r="P41" s="1152"/>
      <c r="Q41" s="1153"/>
    </row>
    <row r="42" spans="3:18" ht="150" customHeight="1" x14ac:dyDescent="0.25">
      <c r="D42" s="1151"/>
      <c r="E42" s="1150"/>
      <c r="F42" s="119" t="s">
        <v>241</v>
      </c>
      <c r="G42" s="503" t="s">
        <v>242</v>
      </c>
      <c r="H42" s="504" t="s">
        <v>244</v>
      </c>
      <c r="I42" s="504" t="s">
        <v>242</v>
      </c>
      <c r="J42" s="504" t="s">
        <v>244</v>
      </c>
      <c r="K42" s="182" t="s">
        <v>246</v>
      </c>
      <c r="L42" s="182" t="s">
        <v>246</v>
      </c>
      <c r="M42" s="182" t="s">
        <v>246</v>
      </c>
      <c r="N42" s="182" t="s">
        <v>246</v>
      </c>
      <c r="O42" s="182" t="s">
        <v>246</v>
      </c>
      <c r="P42" s="182" t="s">
        <v>86</v>
      </c>
      <c r="Q42" s="381" t="s">
        <v>252</v>
      </c>
    </row>
    <row r="43" spans="3:18" ht="110.1" customHeight="1" x14ac:dyDescent="0.25">
      <c r="D43" s="120"/>
      <c r="E43" s="119" t="s">
        <v>241</v>
      </c>
      <c r="F43" s="121" t="s">
        <v>150</v>
      </c>
      <c r="G43" s="181" t="s">
        <v>243</v>
      </c>
      <c r="H43" s="182" t="s">
        <v>243</v>
      </c>
      <c r="I43" s="182" t="s">
        <v>245</v>
      </c>
      <c r="J43" s="182" t="s">
        <v>245</v>
      </c>
      <c r="K43" s="182" t="s">
        <v>243</v>
      </c>
      <c r="L43" s="504" t="s">
        <v>254</v>
      </c>
      <c r="M43" s="504" t="s">
        <v>248</v>
      </c>
      <c r="N43" s="504" t="s">
        <v>249</v>
      </c>
      <c r="O43" s="504" t="s">
        <v>250</v>
      </c>
      <c r="P43" s="182" t="s">
        <v>251</v>
      </c>
      <c r="Q43" s="381" t="s">
        <v>253</v>
      </c>
    </row>
    <row r="44" spans="3:18" ht="249.95" customHeight="1" x14ac:dyDescent="0.25">
      <c r="D44" s="1154" t="s">
        <v>688</v>
      </c>
      <c r="E44" s="503" t="s">
        <v>242</v>
      </c>
      <c r="F44" s="181" t="s">
        <v>243</v>
      </c>
      <c r="G44" s="496" t="s">
        <v>203</v>
      </c>
      <c r="H44" s="491" t="s">
        <v>775</v>
      </c>
      <c r="I44" s="491" t="s">
        <v>776</v>
      </c>
      <c r="J44" s="491" t="s">
        <v>777</v>
      </c>
      <c r="K44" s="491" t="s">
        <v>778</v>
      </c>
      <c r="L44" s="492" t="s">
        <v>779</v>
      </c>
      <c r="M44" s="491" t="s">
        <v>965</v>
      </c>
      <c r="N44" s="491" t="s">
        <v>1029</v>
      </c>
      <c r="O44" s="491" t="s">
        <v>1011</v>
      </c>
      <c r="P44" s="491" t="s">
        <v>1037</v>
      </c>
      <c r="Q44" s="498" t="s">
        <v>1053</v>
      </c>
    </row>
    <row r="45" spans="3:18" ht="249.95" customHeight="1" x14ac:dyDescent="0.25">
      <c r="D45" s="1155"/>
      <c r="E45" s="504" t="s">
        <v>244</v>
      </c>
      <c r="F45" s="182" t="s">
        <v>243</v>
      </c>
      <c r="G45" s="492" t="s">
        <v>1126</v>
      </c>
      <c r="H45" s="496" t="s">
        <v>203</v>
      </c>
      <c r="I45" s="492" t="s">
        <v>780</v>
      </c>
      <c r="J45" s="492" t="s">
        <v>781</v>
      </c>
      <c r="K45" s="492" t="s">
        <v>782</v>
      </c>
      <c r="L45" s="492" t="s">
        <v>783</v>
      </c>
      <c r="M45" s="492" t="s">
        <v>966</v>
      </c>
      <c r="N45" s="492" t="s">
        <v>1030</v>
      </c>
      <c r="O45" s="492" t="s">
        <v>1012</v>
      </c>
      <c r="P45" s="499" t="s">
        <v>1135</v>
      </c>
      <c r="Q45" s="498" t="s">
        <v>1054</v>
      </c>
    </row>
    <row r="46" spans="3:18" ht="249.95" customHeight="1" x14ac:dyDescent="0.25">
      <c r="D46" s="1155"/>
      <c r="E46" s="504" t="s">
        <v>242</v>
      </c>
      <c r="F46" s="182" t="s">
        <v>245</v>
      </c>
      <c r="G46" s="492" t="s">
        <v>784</v>
      </c>
      <c r="H46" s="492" t="s">
        <v>785</v>
      </c>
      <c r="I46" s="496" t="s">
        <v>203</v>
      </c>
      <c r="J46" s="492" t="s">
        <v>786</v>
      </c>
      <c r="K46" s="492" t="s">
        <v>787</v>
      </c>
      <c r="L46" s="492" t="s">
        <v>788</v>
      </c>
      <c r="M46" s="492" t="s">
        <v>1038</v>
      </c>
      <c r="N46" s="492" t="s">
        <v>1031</v>
      </c>
      <c r="O46" s="492" t="s">
        <v>1013</v>
      </c>
      <c r="P46" s="492" t="s">
        <v>789</v>
      </c>
      <c r="Q46" s="498" t="s">
        <v>1055</v>
      </c>
    </row>
    <row r="47" spans="3:18" ht="249.95" customHeight="1" x14ac:dyDescent="0.25">
      <c r="D47" s="1155"/>
      <c r="E47" s="504" t="s">
        <v>244</v>
      </c>
      <c r="F47" s="182" t="s">
        <v>245</v>
      </c>
      <c r="G47" s="500" t="s">
        <v>790</v>
      </c>
      <c r="H47" s="492" t="s">
        <v>791</v>
      </c>
      <c r="I47" s="492" t="s">
        <v>792</v>
      </c>
      <c r="J47" s="496" t="s">
        <v>203</v>
      </c>
      <c r="K47" s="492" t="s">
        <v>793</v>
      </c>
      <c r="L47" s="492" t="s">
        <v>794</v>
      </c>
      <c r="M47" s="492" t="s">
        <v>967</v>
      </c>
      <c r="N47" s="492" t="s">
        <v>1144</v>
      </c>
      <c r="O47" s="492" t="s">
        <v>1014</v>
      </c>
      <c r="P47" s="492" t="s">
        <v>795</v>
      </c>
      <c r="Q47" s="498" t="s">
        <v>1056</v>
      </c>
    </row>
    <row r="48" spans="3:18" ht="249.95" customHeight="1" x14ac:dyDescent="0.25">
      <c r="D48" s="1155"/>
      <c r="E48" s="182" t="s">
        <v>246</v>
      </c>
      <c r="F48" s="182" t="s">
        <v>243</v>
      </c>
      <c r="G48" s="492" t="s">
        <v>702</v>
      </c>
      <c r="H48" s="492" t="s">
        <v>703</v>
      </c>
      <c r="I48" s="492" t="s">
        <v>704</v>
      </c>
      <c r="J48" s="492" t="s">
        <v>705</v>
      </c>
      <c r="K48" s="496" t="s">
        <v>203</v>
      </c>
      <c r="L48" s="492" t="s">
        <v>706</v>
      </c>
      <c r="M48" s="492" t="s">
        <v>969</v>
      </c>
      <c r="N48" s="492" t="s">
        <v>1019</v>
      </c>
      <c r="O48" s="492" t="s">
        <v>1000</v>
      </c>
      <c r="P48" s="492" t="s">
        <v>707</v>
      </c>
      <c r="Q48" s="498" t="s">
        <v>1131</v>
      </c>
    </row>
    <row r="49" spans="4:17" ht="249.95" customHeight="1" x14ac:dyDescent="0.25">
      <c r="D49" s="1155"/>
      <c r="E49" s="182" t="s">
        <v>246</v>
      </c>
      <c r="F49" s="182" t="s">
        <v>247</v>
      </c>
      <c r="G49" s="492" t="s">
        <v>708</v>
      </c>
      <c r="H49" s="492" t="s">
        <v>709</v>
      </c>
      <c r="I49" s="492" t="s">
        <v>710</v>
      </c>
      <c r="J49" s="491" t="s">
        <v>711</v>
      </c>
      <c r="K49" s="492" t="s">
        <v>712</v>
      </c>
      <c r="L49" s="496" t="s">
        <v>203</v>
      </c>
      <c r="M49" s="492" t="s">
        <v>957</v>
      </c>
      <c r="N49" s="492" t="s">
        <v>1020</v>
      </c>
      <c r="O49" s="492" t="s">
        <v>1001</v>
      </c>
      <c r="P49" s="492" t="s">
        <v>713</v>
      </c>
      <c r="Q49" s="498" t="s">
        <v>1132</v>
      </c>
    </row>
    <row r="50" spans="4:17" ht="249.95" customHeight="1" x14ac:dyDescent="0.25">
      <c r="D50" s="1155"/>
      <c r="E50" s="182" t="s">
        <v>246</v>
      </c>
      <c r="F50" s="504" t="s">
        <v>248</v>
      </c>
      <c r="G50" s="491" t="s">
        <v>714</v>
      </c>
      <c r="H50" s="491" t="s">
        <v>715</v>
      </c>
      <c r="I50" s="492" t="s">
        <v>716</v>
      </c>
      <c r="J50" s="491" t="s">
        <v>717</v>
      </c>
      <c r="K50" s="491" t="s">
        <v>718</v>
      </c>
      <c r="L50" s="491" t="s">
        <v>719</v>
      </c>
      <c r="M50" s="496" t="s">
        <v>203</v>
      </c>
      <c r="N50" s="491" t="s">
        <v>1021</v>
      </c>
      <c r="O50" s="491" t="s">
        <v>1002</v>
      </c>
      <c r="P50" s="491" t="s">
        <v>720</v>
      </c>
      <c r="Q50" s="498" t="s">
        <v>1133</v>
      </c>
    </row>
    <row r="51" spans="4:17" ht="249.95" customHeight="1" x14ac:dyDescent="0.25">
      <c r="D51" s="1155"/>
      <c r="E51" s="182" t="s">
        <v>246</v>
      </c>
      <c r="F51" s="504" t="s">
        <v>249</v>
      </c>
      <c r="G51" s="491" t="s">
        <v>721</v>
      </c>
      <c r="H51" s="491" t="s">
        <v>722</v>
      </c>
      <c r="I51" s="492" t="s">
        <v>723</v>
      </c>
      <c r="J51" s="491" t="s">
        <v>724</v>
      </c>
      <c r="K51" s="491" t="s">
        <v>725</v>
      </c>
      <c r="L51" s="502" t="s">
        <v>726</v>
      </c>
      <c r="M51" s="491" t="s">
        <v>1145</v>
      </c>
      <c r="N51" s="496" t="s">
        <v>203</v>
      </c>
      <c r="O51" s="491" t="s">
        <v>1003</v>
      </c>
      <c r="P51" s="491" t="s">
        <v>727</v>
      </c>
      <c r="Q51" s="498" t="s">
        <v>1046</v>
      </c>
    </row>
    <row r="52" spans="4:17" ht="249.95" customHeight="1" x14ac:dyDescent="0.25">
      <c r="D52" s="1155"/>
      <c r="E52" s="182" t="s">
        <v>246</v>
      </c>
      <c r="F52" s="504" t="s">
        <v>250</v>
      </c>
      <c r="G52" s="491" t="s">
        <v>728</v>
      </c>
      <c r="H52" s="491" t="s">
        <v>729</v>
      </c>
      <c r="I52" s="491" t="s">
        <v>730</v>
      </c>
      <c r="J52" s="491" t="s">
        <v>731</v>
      </c>
      <c r="K52" s="491" t="s">
        <v>732</v>
      </c>
      <c r="L52" s="491" t="s">
        <v>733</v>
      </c>
      <c r="M52" s="491" t="s">
        <v>958</v>
      </c>
      <c r="N52" s="491" t="s">
        <v>1022</v>
      </c>
      <c r="O52" s="496" t="s">
        <v>203</v>
      </c>
      <c r="P52" s="491" t="s">
        <v>734</v>
      </c>
      <c r="Q52" s="498" t="s">
        <v>1136</v>
      </c>
    </row>
    <row r="53" spans="4:17" ht="249.95" customHeight="1" x14ac:dyDescent="0.25">
      <c r="D53" s="1155"/>
      <c r="E53" s="182" t="s">
        <v>86</v>
      </c>
      <c r="F53" s="182" t="s">
        <v>251</v>
      </c>
      <c r="G53" s="492" t="s">
        <v>1127</v>
      </c>
      <c r="H53" s="492" t="s">
        <v>796</v>
      </c>
      <c r="I53" s="492" t="s">
        <v>993</v>
      </c>
      <c r="J53" s="492" t="s">
        <v>797</v>
      </c>
      <c r="K53" s="492" t="s">
        <v>798</v>
      </c>
      <c r="L53" s="492" t="s">
        <v>799</v>
      </c>
      <c r="M53" s="492" t="s">
        <v>968</v>
      </c>
      <c r="N53" s="492" t="s">
        <v>1032</v>
      </c>
      <c r="O53" s="492" t="s">
        <v>1015</v>
      </c>
      <c r="P53" s="497" t="s">
        <v>203</v>
      </c>
      <c r="Q53" s="498" t="s">
        <v>1057</v>
      </c>
    </row>
    <row r="54" spans="4:17" ht="249.95" customHeight="1" thickBot="1" x14ac:dyDescent="0.3">
      <c r="D54" s="1156"/>
      <c r="E54" s="366" t="s">
        <v>252</v>
      </c>
      <c r="F54" s="366" t="s">
        <v>253</v>
      </c>
      <c r="G54" s="501" t="s">
        <v>739</v>
      </c>
      <c r="H54" s="501" t="s">
        <v>740</v>
      </c>
      <c r="I54" s="501" t="s">
        <v>741</v>
      </c>
      <c r="J54" s="501" t="s">
        <v>742</v>
      </c>
      <c r="K54" s="501" t="s">
        <v>743</v>
      </c>
      <c r="L54" s="501" t="s">
        <v>744</v>
      </c>
      <c r="M54" s="501" t="s">
        <v>960</v>
      </c>
      <c r="N54" s="501" t="s">
        <v>1024</v>
      </c>
      <c r="O54" s="501" t="s">
        <v>1005</v>
      </c>
      <c r="P54" s="501" t="s">
        <v>745</v>
      </c>
      <c r="Q54" s="495" t="s">
        <v>203</v>
      </c>
    </row>
  </sheetData>
  <mergeCells count="16">
    <mergeCell ref="D40:Q40"/>
    <mergeCell ref="D41:E42"/>
    <mergeCell ref="G41:Q41"/>
    <mergeCell ref="D44:D54"/>
    <mergeCell ref="A1:F2"/>
    <mergeCell ref="L1:L3"/>
    <mergeCell ref="D8:Q8"/>
    <mergeCell ref="D9:E10"/>
    <mergeCell ref="G9:Q9"/>
    <mergeCell ref="I2:J2"/>
    <mergeCell ref="D12:D22"/>
    <mergeCell ref="D24:Q24"/>
    <mergeCell ref="D25:E26"/>
    <mergeCell ref="G25:Q25"/>
    <mergeCell ref="D28:D38"/>
    <mergeCell ref="E5:G5"/>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D52F4-4508-43BC-9D58-6E610C1A3136}">
  <sheetPr codeName="Sheet7">
    <tabColor rgb="FFF46F3A"/>
  </sheetPr>
  <dimension ref="A1:AW143"/>
  <sheetViews>
    <sheetView zoomScale="70" zoomScaleNormal="70" workbookViewId="0">
      <selection sqref="A1:C2"/>
    </sheetView>
  </sheetViews>
  <sheetFormatPr defaultColWidth="9.140625" defaultRowHeight="15" x14ac:dyDescent="0.25"/>
  <cols>
    <col min="1" max="1" width="2.42578125" style="5" customWidth="1"/>
    <col min="2" max="2" width="32.28515625" style="5" customWidth="1"/>
    <col min="3" max="3" width="16" style="5" customWidth="1"/>
    <col min="4" max="4" width="29.42578125" style="5" customWidth="1"/>
    <col min="5" max="5" width="29" style="5" customWidth="1"/>
    <col min="6" max="6" width="30.7109375" style="5" customWidth="1"/>
    <col min="7" max="7" width="19.42578125" style="5" customWidth="1"/>
    <col min="8" max="8" width="40.28515625" style="5" customWidth="1"/>
    <col min="9" max="9" width="51.5703125" style="5" customWidth="1"/>
    <col min="10" max="10" width="51.28515625" style="5" customWidth="1"/>
    <col min="11" max="11" width="38.85546875" style="5" customWidth="1"/>
    <col min="12" max="12" width="53.7109375" style="5" bestFit="1" customWidth="1"/>
    <col min="13" max="13" width="45.42578125" style="5" customWidth="1"/>
    <col min="14" max="14" width="45.28515625" style="5" customWidth="1"/>
    <col min="15" max="15" width="51.140625" style="5" customWidth="1"/>
    <col min="16" max="16" width="57.5703125" style="5" customWidth="1"/>
    <col min="17" max="17" width="65.140625" style="5" customWidth="1"/>
    <col min="18" max="18" width="48.85546875" style="5" customWidth="1"/>
    <col min="19" max="19" width="49.140625" style="5" customWidth="1"/>
    <col min="20" max="20" width="50.7109375" style="5" customWidth="1"/>
    <col min="21" max="22" width="44.42578125" style="5" customWidth="1"/>
    <col min="23" max="23" width="41.5703125" style="5" customWidth="1"/>
    <col min="24" max="24" width="40.5703125" style="5" customWidth="1"/>
    <col min="25" max="25" width="37.5703125" style="5" customWidth="1"/>
    <col min="26" max="26" width="38.42578125" style="5" customWidth="1"/>
    <col min="27" max="27" width="58" style="5" customWidth="1"/>
    <col min="28" max="28" width="60" style="5" customWidth="1"/>
    <col min="29" max="29" width="46.28515625" style="5" customWidth="1"/>
    <col min="30" max="30" width="50.140625" style="5" customWidth="1"/>
    <col min="31" max="31" width="53.7109375" style="5" customWidth="1"/>
    <col min="32" max="32" width="49.5703125" style="5" customWidth="1"/>
    <col min="33" max="33" width="41.5703125" style="5" customWidth="1"/>
    <col min="34" max="34" width="43.42578125" style="5" customWidth="1"/>
    <col min="35" max="35" width="42.140625" style="5" customWidth="1"/>
    <col min="36" max="36" width="50.140625" style="5" customWidth="1"/>
    <col min="37" max="39" width="50.7109375" style="5" customWidth="1"/>
    <col min="40" max="40" width="49.140625" style="5" customWidth="1"/>
    <col min="41" max="41" width="51.42578125" style="5" customWidth="1"/>
    <col min="42" max="42" width="51.5703125" style="5" customWidth="1"/>
    <col min="43" max="43" width="47.28515625" style="5" customWidth="1"/>
    <col min="44" max="44" width="48.7109375" style="5" customWidth="1"/>
    <col min="45" max="45" width="52.28515625" style="5" customWidth="1"/>
    <col min="46" max="46" width="49.85546875" style="5" customWidth="1"/>
    <col min="47" max="47" width="49.140625" style="5" customWidth="1"/>
    <col min="48" max="48" width="44.28515625" style="5" customWidth="1"/>
    <col min="49" max="49" width="42.5703125" style="5" customWidth="1"/>
    <col min="50" max="16384" width="9.140625" style="5"/>
  </cols>
  <sheetData>
    <row r="1" spans="1:49" ht="18.75" customHeight="1" x14ac:dyDescent="0.3">
      <c r="A1" s="1170" t="s">
        <v>291</v>
      </c>
      <c r="B1" s="1170"/>
      <c r="C1" s="1170"/>
      <c r="D1" s="87" t="s">
        <v>1448</v>
      </c>
      <c r="J1" s="1172" t="s">
        <v>516</v>
      </c>
      <c r="K1" s="57"/>
    </row>
    <row r="2" spans="1:49" ht="15" customHeight="1" x14ac:dyDescent="0.25">
      <c r="A2" s="1170"/>
      <c r="B2" s="1170"/>
      <c r="C2" s="1170"/>
      <c r="J2" s="1173"/>
      <c r="K2" s="57"/>
    </row>
    <row r="3" spans="1:49" ht="18.75" customHeight="1" x14ac:dyDescent="0.3">
      <c r="B3" s="87" t="s">
        <v>1495</v>
      </c>
      <c r="J3" s="1174"/>
      <c r="K3" s="57"/>
    </row>
    <row r="4" spans="1:49" ht="25.5" customHeight="1" thickBot="1" x14ac:dyDescent="0.3"/>
    <row r="5" spans="1:49" ht="36.75" customHeight="1" x14ac:dyDescent="0.25">
      <c r="B5" s="1179" t="s">
        <v>1173</v>
      </c>
      <c r="C5" s="1180"/>
      <c r="D5" s="1180"/>
      <c r="E5" s="1180"/>
      <c r="F5" s="1180"/>
      <c r="G5" s="1180"/>
      <c r="H5" s="1180"/>
      <c r="I5" s="1180"/>
      <c r="J5" s="1180"/>
      <c r="K5" s="1180"/>
      <c r="L5" s="1180"/>
      <c r="M5" s="1180"/>
      <c r="N5" s="1180"/>
      <c r="O5" s="1180"/>
      <c r="P5" s="1180"/>
      <c r="Q5" s="1180"/>
      <c r="R5" s="1180"/>
      <c r="S5" s="1180"/>
      <c r="T5" s="1180"/>
      <c r="U5" s="1180"/>
      <c r="V5" s="1180"/>
      <c r="W5" s="1180"/>
      <c r="X5" s="1180"/>
      <c r="Y5" s="1180"/>
      <c r="Z5" s="1180"/>
      <c r="AA5" s="1180"/>
      <c r="AB5" s="1180"/>
      <c r="AC5" s="1180"/>
      <c r="AD5" s="1180"/>
      <c r="AE5" s="1180"/>
      <c r="AF5" s="1180"/>
      <c r="AG5" s="1180"/>
      <c r="AH5" s="1180"/>
      <c r="AI5" s="1180"/>
      <c r="AJ5" s="1180"/>
      <c r="AK5" s="1180"/>
      <c r="AL5" s="1180"/>
      <c r="AM5" s="1180"/>
      <c r="AN5" s="1180"/>
      <c r="AO5" s="1180"/>
      <c r="AP5" s="1180"/>
      <c r="AQ5" s="1180"/>
      <c r="AR5" s="1180"/>
      <c r="AS5" s="1180"/>
      <c r="AT5" s="1180"/>
      <c r="AU5" s="1180"/>
      <c r="AV5" s="1180"/>
      <c r="AW5" s="1181"/>
    </row>
    <row r="6" spans="1:49" ht="20.25" x14ac:dyDescent="0.3">
      <c r="B6" s="1171" t="s">
        <v>229</v>
      </c>
      <c r="C6" s="1175" t="s">
        <v>228</v>
      </c>
      <c r="D6" s="1176"/>
      <c r="E6" s="1176"/>
      <c r="F6" s="1176"/>
      <c r="G6" s="1176"/>
      <c r="H6" s="1176"/>
      <c r="I6" s="1176"/>
      <c r="J6" s="1176"/>
      <c r="K6" s="1176"/>
      <c r="L6" s="1169" t="s">
        <v>277</v>
      </c>
      <c r="M6" s="1169"/>
      <c r="N6" s="1169"/>
      <c r="O6" s="1169"/>
      <c r="P6" s="1169"/>
      <c r="Q6" s="1169"/>
      <c r="R6" s="1169"/>
      <c r="S6" s="1169"/>
      <c r="T6" s="1169"/>
      <c r="U6" s="1169"/>
      <c r="V6" s="1169"/>
      <c r="W6" s="1177" t="s">
        <v>458</v>
      </c>
      <c r="X6" s="1177"/>
      <c r="Y6" s="1177"/>
      <c r="Z6" s="1177"/>
      <c r="AA6" s="1177"/>
      <c r="AB6" s="1177"/>
      <c r="AC6" s="1177"/>
      <c r="AD6" s="1177"/>
      <c r="AE6" s="1177"/>
      <c r="AF6" s="1177"/>
      <c r="AG6" s="1178"/>
      <c r="AH6" s="1166" t="s">
        <v>633</v>
      </c>
      <c r="AI6" s="1167"/>
      <c r="AJ6" s="1167"/>
      <c r="AK6" s="1167"/>
      <c r="AL6" s="1167"/>
      <c r="AM6" s="1182"/>
      <c r="AN6" s="1166" t="s">
        <v>864</v>
      </c>
      <c r="AO6" s="1167"/>
      <c r="AP6" s="1167"/>
      <c r="AQ6" s="1167"/>
      <c r="AR6" s="1182"/>
      <c r="AS6" s="1166" t="s">
        <v>862</v>
      </c>
      <c r="AT6" s="1167"/>
      <c r="AU6" s="1167"/>
      <c r="AV6" s="1167"/>
      <c r="AW6" s="1168"/>
    </row>
    <row r="7" spans="1:49" x14ac:dyDescent="0.25">
      <c r="B7" s="1171"/>
      <c r="C7" s="229" t="s">
        <v>104</v>
      </c>
      <c r="D7" s="946" t="s">
        <v>649</v>
      </c>
      <c r="E7" s="946" t="s">
        <v>650</v>
      </c>
      <c r="F7" s="938" t="s">
        <v>651</v>
      </c>
      <c r="G7" s="938" t="s">
        <v>648</v>
      </c>
      <c r="H7" s="946" t="s">
        <v>652</v>
      </c>
      <c r="I7" s="946" t="s">
        <v>653</v>
      </c>
      <c r="J7" s="946" t="s">
        <v>654</v>
      </c>
      <c r="K7" s="946" t="s">
        <v>655</v>
      </c>
      <c r="L7" s="938" t="s">
        <v>656</v>
      </c>
      <c r="M7" s="938" t="s">
        <v>657</v>
      </c>
      <c r="N7" s="938" t="s">
        <v>658</v>
      </c>
      <c r="O7" s="938" t="s">
        <v>659</v>
      </c>
      <c r="P7" s="938" t="s">
        <v>660</v>
      </c>
      <c r="Q7" s="938" t="s">
        <v>661</v>
      </c>
      <c r="R7" s="938" t="s">
        <v>747</v>
      </c>
      <c r="S7" s="938" t="s">
        <v>748</v>
      </c>
      <c r="T7" s="938" t="s">
        <v>749</v>
      </c>
      <c r="U7" s="938" t="s">
        <v>662</v>
      </c>
      <c r="V7" s="938" t="s">
        <v>663</v>
      </c>
      <c r="W7" s="938" t="s">
        <v>664</v>
      </c>
      <c r="X7" s="938" t="s">
        <v>665</v>
      </c>
      <c r="Y7" s="938" t="s">
        <v>666</v>
      </c>
      <c r="Z7" s="938" t="s">
        <v>667</v>
      </c>
      <c r="AA7" s="938" t="s">
        <v>668</v>
      </c>
      <c r="AB7" s="938" t="s">
        <v>669</v>
      </c>
      <c r="AC7" s="938" t="s">
        <v>670</v>
      </c>
      <c r="AD7" s="938" t="s">
        <v>671</v>
      </c>
      <c r="AE7" s="938" t="s">
        <v>672</v>
      </c>
      <c r="AF7" s="938" t="s">
        <v>673</v>
      </c>
      <c r="AG7" s="938" t="s">
        <v>674</v>
      </c>
      <c r="AH7" s="946" t="s">
        <v>675</v>
      </c>
      <c r="AI7" s="946" t="s">
        <v>800</v>
      </c>
      <c r="AJ7" s="946" t="s">
        <v>676</v>
      </c>
      <c r="AK7" s="938" t="s">
        <v>677</v>
      </c>
      <c r="AL7" s="938" t="s">
        <v>678</v>
      </c>
      <c r="AM7" s="938" t="s">
        <v>1033</v>
      </c>
      <c r="AN7" s="946" t="s">
        <v>647</v>
      </c>
      <c r="AO7" s="946" t="s">
        <v>679</v>
      </c>
      <c r="AP7" s="946" t="s">
        <v>680</v>
      </c>
      <c r="AQ7" s="946" t="s">
        <v>681</v>
      </c>
      <c r="AR7" s="938" t="s">
        <v>682</v>
      </c>
      <c r="AS7" s="946" t="s">
        <v>683</v>
      </c>
      <c r="AT7" s="946" t="s">
        <v>684</v>
      </c>
      <c r="AU7" s="946" t="s">
        <v>685</v>
      </c>
      <c r="AV7" s="938" t="s">
        <v>686</v>
      </c>
      <c r="AW7" s="947" t="s">
        <v>687</v>
      </c>
    </row>
    <row r="8" spans="1:49" x14ac:dyDescent="0.25">
      <c r="B8" s="834" t="s">
        <v>1367</v>
      </c>
      <c r="C8" s="731">
        <f>'14 Space Heating Detailed Costs'!F51</f>
        <v>20</v>
      </c>
      <c r="D8" s="732">
        <f>'14 Space Heating Detailed Costs'!F42</f>
        <v>11.897125943043891</v>
      </c>
      <c r="E8" s="732">
        <f>'14 Space Heating Detailed Costs'!P34</f>
        <v>10.897125943043891</v>
      </c>
      <c r="F8" s="731">
        <f>'14 Space Heating Detailed Costs'!F100</f>
        <v>4</v>
      </c>
      <c r="G8" s="828" t="s">
        <v>1157</v>
      </c>
      <c r="H8" s="731">
        <f>'14 Space Heating Detailed Costs'!H143</f>
        <v>13.799999999999999</v>
      </c>
      <c r="I8" s="828" t="s">
        <v>1157</v>
      </c>
      <c r="J8" s="732">
        <f>'14 Space Heating Detailed Costs'!H119</f>
        <v>15.33082533170786</v>
      </c>
      <c r="K8" s="829">
        <f>'14 Space Heating Detailed Costs'!H134</f>
        <v>205.34239647284764</v>
      </c>
      <c r="L8" s="828" t="s">
        <v>1157</v>
      </c>
      <c r="M8" s="828" t="s">
        <v>1157</v>
      </c>
      <c r="N8" s="828" t="s">
        <v>1157</v>
      </c>
      <c r="O8" s="828" t="s">
        <v>1157</v>
      </c>
      <c r="P8" s="828" t="s">
        <v>1157</v>
      </c>
      <c r="Q8" s="828" t="s">
        <v>1157</v>
      </c>
      <c r="R8" s="828" t="s">
        <v>1157</v>
      </c>
      <c r="S8" s="828" t="s">
        <v>1157</v>
      </c>
      <c r="T8" s="828" t="s">
        <v>1157</v>
      </c>
      <c r="U8" s="828" t="s">
        <v>1157</v>
      </c>
      <c r="V8" s="828" t="s">
        <v>1157</v>
      </c>
      <c r="W8" s="828" t="s">
        <v>1157</v>
      </c>
      <c r="X8" s="828" t="s">
        <v>1157</v>
      </c>
      <c r="Y8" s="828" t="s">
        <v>1157</v>
      </c>
      <c r="Z8" s="828" t="s">
        <v>1157</v>
      </c>
      <c r="AA8" s="828" t="s">
        <v>1157</v>
      </c>
      <c r="AB8" s="828" t="s">
        <v>1157</v>
      </c>
      <c r="AC8" s="828" t="s">
        <v>1157</v>
      </c>
      <c r="AD8" s="828" t="s">
        <v>1157</v>
      </c>
      <c r="AE8" s="828" t="s">
        <v>1157</v>
      </c>
      <c r="AF8" s="828" t="s">
        <v>1157</v>
      </c>
      <c r="AG8" s="828" t="s">
        <v>1157</v>
      </c>
      <c r="AH8" s="828" t="s">
        <v>1157</v>
      </c>
      <c r="AI8" s="828" t="s">
        <v>1157</v>
      </c>
      <c r="AJ8" s="828" t="s">
        <v>1157</v>
      </c>
      <c r="AK8" s="828" t="s">
        <v>1157</v>
      </c>
      <c r="AL8" s="829">
        <f>'14 Space Heating Detailed Costs'!G167</f>
        <v>11.727414584336275</v>
      </c>
      <c r="AM8" s="828" t="s">
        <v>1157</v>
      </c>
      <c r="AN8" s="828" t="s">
        <v>1157</v>
      </c>
      <c r="AO8" s="828" t="s">
        <v>1157</v>
      </c>
      <c r="AP8" s="828" t="s">
        <v>1157</v>
      </c>
      <c r="AQ8" s="828" t="s">
        <v>1157</v>
      </c>
      <c r="AR8" s="828" t="s">
        <v>1157</v>
      </c>
      <c r="AS8" s="828" t="s">
        <v>1157</v>
      </c>
      <c r="AT8" s="828" t="s">
        <v>1157</v>
      </c>
      <c r="AU8" s="828" t="s">
        <v>1157</v>
      </c>
      <c r="AV8" s="828" t="s">
        <v>1157</v>
      </c>
      <c r="AW8" s="830" t="s">
        <v>1157</v>
      </c>
    </row>
    <row r="9" spans="1:49" x14ac:dyDescent="0.25">
      <c r="B9" s="834" t="s">
        <v>7</v>
      </c>
      <c r="C9" s="735">
        <f>'14 Space Heating Detailed Costs'!E51</f>
        <v>1725</v>
      </c>
      <c r="D9" s="735">
        <f>'14 Space Heating Detailed Costs'!E42</f>
        <v>125.4</v>
      </c>
      <c r="E9" s="735">
        <f>'14 Space Heating Detailed Costs'!E33</f>
        <v>62.4</v>
      </c>
      <c r="F9" s="735">
        <f>'14 Space Heating Detailed Costs'!E100</f>
        <v>550</v>
      </c>
      <c r="G9" s="831" t="s">
        <v>1157</v>
      </c>
      <c r="H9" s="735">
        <f>'14 Space Heating Detailed Costs'!F143</f>
        <v>201.5</v>
      </c>
      <c r="I9" s="831" t="s">
        <v>1157</v>
      </c>
      <c r="J9" s="735">
        <f>'14 Space Heating Detailed Costs'!F119</f>
        <v>307.5</v>
      </c>
      <c r="K9" s="735">
        <f>'14 Space Heating Detailed Costs'!G134</f>
        <v>3123.2180021488462</v>
      </c>
      <c r="L9" s="831" t="s">
        <v>1157</v>
      </c>
      <c r="M9" s="831" t="s">
        <v>1157</v>
      </c>
      <c r="N9" s="831" t="s">
        <v>1157</v>
      </c>
      <c r="O9" s="831" t="s">
        <v>1157</v>
      </c>
      <c r="P9" s="831" t="s">
        <v>1157</v>
      </c>
      <c r="Q9" s="831" t="s">
        <v>1157</v>
      </c>
      <c r="R9" s="831" t="s">
        <v>1157</v>
      </c>
      <c r="S9" s="831" t="s">
        <v>1157</v>
      </c>
      <c r="T9" s="831" t="s">
        <v>1157</v>
      </c>
      <c r="U9" s="831" t="s">
        <v>1157</v>
      </c>
      <c r="V9" s="831" t="s">
        <v>1157</v>
      </c>
      <c r="W9" s="831" t="s">
        <v>1157</v>
      </c>
      <c r="X9" s="831" t="s">
        <v>1157</v>
      </c>
      <c r="Y9" s="831" t="s">
        <v>1157</v>
      </c>
      <c r="Z9" s="831" t="s">
        <v>1157</v>
      </c>
      <c r="AA9" s="831" t="s">
        <v>1157</v>
      </c>
      <c r="AB9" s="831" t="s">
        <v>1157</v>
      </c>
      <c r="AC9" s="831" t="s">
        <v>1157</v>
      </c>
      <c r="AD9" s="831" t="s">
        <v>1157</v>
      </c>
      <c r="AE9" s="831" t="s">
        <v>1157</v>
      </c>
      <c r="AF9" s="831" t="s">
        <v>1157</v>
      </c>
      <c r="AG9" s="831" t="s">
        <v>1157</v>
      </c>
      <c r="AH9" s="831" t="s">
        <v>1157</v>
      </c>
      <c r="AI9" s="831" t="s">
        <v>1157</v>
      </c>
      <c r="AJ9" s="831" t="s">
        <v>1157</v>
      </c>
      <c r="AK9" s="831" t="s">
        <v>1157</v>
      </c>
      <c r="AL9" s="731">
        <f>'14 Space Heating Detailed Costs'!F167</f>
        <v>1900</v>
      </c>
      <c r="AM9" s="831" t="s">
        <v>1157</v>
      </c>
      <c r="AN9" s="831" t="s">
        <v>1157</v>
      </c>
      <c r="AO9" s="831" t="s">
        <v>1157</v>
      </c>
      <c r="AP9" s="831" t="s">
        <v>1157</v>
      </c>
      <c r="AQ9" s="831" t="s">
        <v>1157</v>
      </c>
      <c r="AR9" s="831" t="s">
        <v>1157</v>
      </c>
      <c r="AS9" s="831" t="s">
        <v>1157</v>
      </c>
      <c r="AT9" s="831" t="s">
        <v>1157</v>
      </c>
      <c r="AU9" s="831" t="s">
        <v>1157</v>
      </c>
      <c r="AV9" s="831" t="s">
        <v>1157</v>
      </c>
      <c r="AW9" s="832" t="s">
        <v>1157</v>
      </c>
    </row>
    <row r="10" spans="1:49" x14ac:dyDescent="0.25">
      <c r="B10" s="834"/>
      <c r="C10" s="733"/>
      <c r="D10" s="833"/>
      <c r="E10" s="833"/>
      <c r="F10" s="833"/>
      <c r="G10" s="833"/>
      <c r="H10" s="833"/>
      <c r="I10" s="833"/>
      <c r="J10" s="833"/>
      <c r="K10" s="833"/>
      <c r="L10" s="833"/>
      <c r="M10" s="833"/>
      <c r="N10" s="833"/>
      <c r="O10" s="833"/>
      <c r="P10" s="833"/>
      <c r="Q10" s="733"/>
      <c r="R10" s="733"/>
      <c r="S10" s="733"/>
      <c r="T10" s="733"/>
      <c r="U10" s="733"/>
      <c r="V10" s="733"/>
      <c r="W10" s="733"/>
      <c r="X10" s="733"/>
      <c r="Y10" s="733"/>
      <c r="Z10" s="733"/>
      <c r="AA10" s="733"/>
      <c r="AB10" s="733"/>
      <c r="AC10" s="733"/>
      <c r="AD10" s="733"/>
      <c r="AE10" s="733"/>
      <c r="AF10" s="733"/>
      <c r="AG10" s="733"/>
      <c r="AH10" s="733"/>
      <c r="AI10" s="733"/>
      <c r="AJ10" s="733"/>
      <c r="AK10" s="733"/>
      <c r="AL10" s="733"/>
      <c r="AM10" s="733"/>
      <c r="AN10" s="733"/>
      <c r="AO10" s="733"/>
      <c r="AP10" s="733"/>
      <c r="AQ10" s="733"/>
      <c r="AR10" s="733"/>
      <c r="AS10" s="733"/>
      <c r="AT10" s="733"/>
      <c r="AU10" s="733"/>
      <c r="AV10" s="733"/>
      <c r="AW10" s="734"/>
    </row>
    <row r="11" spans="1:49" x14ac:dyDescent="0.25">
      <c r="B11" s="834" t="s">
        <v>32</v>
      </c>
      <c r="C11" s="735">
        <f>($C$8*'19 General Wages'!K9)*(1+'21 Sales Taxes'!G8+'19 General Wages'!L9)*(1+'14 Space Heating Detailed Costs'!$I$5) + $C$9*(1+'21 Sales Taxes'!H8)*(1+'14 Space Heating Detailed Costs'!$I$6)</f>
        <v>3505.4258532319559</v>
      </c>
      <c r="D11" s="735">
        <f>($D$8*'19 General Wages'!J9)*(1+'21 Sales Taxes'!G8+'19 General Wages'!L9)*(1+'14 Space Heating Detailed Costs'!$I$5) + $D$9*(1+'21 Sales Taxes'!H8)*(1+'14 Space Heating Detailed Costs'!$I$6)</f>
        <v>856.65760173061017</v>
      </c>
      <c r="E11" s="735">
        <f>($E$8*'19 General Wages'!J9)*(1+'21 Sales Taxes'!G8+'19 General Wages'!L9)*(1+'14 Space Heating Detailed Costs'!$I$5) + $E$9*(1+'21 Sales Taxes'!H8)*(1+'14 Space Heating Detailed Costs'!$I$6)</f>
        <v>709.90524534920041</v>
      </c>
      <c r="F11" s="735">
        <f>($F$8*'19 General Wages'!I9)*(1+'21 Sales Taxes'!G8+'19 General Wages'!L9)*(1+'14 Space Heating Detailed Costs'!$I$5) + $F$9*(1+'21 Sales Taxes'!H8)*(1+'14 Space Heating Detailed Costs'!$I$6)</f>
        <v>1028.7308746804288</v>
      </c>
      <c r="G11" s="735">
        <f>'14 Space Heating Detailed Costs'!$D$158*'19 General Wages'!T9</f>
        <v>627.57090006443048</v>
      </c>
      <c r="H11" s="735">
        <f>($H$8*'19 General Wages'!K9)*(1+'21 Sales Taxes'!G8+'19 General Wages'!L9)*(1+'14 Space Heating Detailed Costs'!$I$5) + $H$9*(1+'21 Sales Taxes'!H8)*(1+'14 Space Heating Detailed Costs'!$I$6)</f>
        <v>1009.9268851477918</v>
      </c>
      <c r="I11" s="735">
        <f>'14 Space Heating Detailed Costs'!R95</f>
        <v>7308.9165098643416</v>
      </c>
      <c r="J11" s="735">
        <f>($J$8*'19 General Wages'!K9)*(1+'21 Sales Taxes'!G8+'19 General Wages'!L9)*(1+'14 Space Heating Detailed Costs'!$I$5) + $J$9*(1+'21 Sales Taxes'!H8)*(1+'14 Space Heating Detailed Costs'!$I$6)</f>
        <v>1241.1426157340502</v>
      </c>
      <c r="K11" s="735">
        <f>($K$8*'19 General Wages'!K9)*(1+'21 Sales Taxes'!G8+'19 General Wages'!L9)*(1+'14 Space Heating Detailed Costs'!$I$5) + $K$9*(1+'21 Sales Taxes'!H8)*(1+'14 Space Heating Detailed Costs'!$I$6)+'14 Space Heating Detailed Costs'!$E$136 + '14 Space Heating Detailed Costs'!$D$138</f>
        <v>16897.715955493764</v>
      </c>
      <c r="L11" s="735">
        <f>'15 Space Heating Demo &amp; Permit'!F8</f>
        <v>406.97022004178217</v>
      </c>
      <c r="M11" s="735">
        <f>'15 Space Heating Demo &amp; Permit'!F20</f>
        <v>1911.2386501962201</v>
      </c>
      <c r="N11" s="735">
        <f>'15 Space Heating Demo &amp; Permit'!F32</f>
        <v>399.3633000410012</v>
      </c>
      <c r="O11" s="735">
        <f>'15 Space Heating Demo &amp; Permit'!F44</f>
        <v>1911.2386501962201</v>
      </c>
      <c r="P11" s="735">
        <f>'15 Space Heating Demo &amp; Permit'!F56</f>
        <v>228.20760002342925</v>
      </c>
      <c r="Q11" s="735">
        <f>'15 Space Heating Demo &amp; Permit'!F68</f>
        <v>171.15570001757195</v>
      </c>
      <c r="R11" s="735">
        <f>'15 Space Heating Demo &amp; Permit'!F80</f>
        <v>855.7785000878597</v>
      </c>
      <c r="S11" s="735">
        <f>'15 Space Heating Demo &amp; Permit'!F92</f>
        <v>1236.5999326269573</v>
      </c>
      <c r="T11" s="735">
        <f>'15 Space Heating Demo &amp; Permit'!F104</f>
        <v>855.7785000878597</v>
      </c>
      <c r="U11" s="735">
        <f>'15 Space Heating Demo &amp; Permit'!F116</f>
        <v>1511.8753501552189</v>
      </c>
      <c r="V11" s="735">
        <f>'15 Space Heating Demo &amp; Permit'!F128</f>
        <v>3423.1140003514388</v>
      </c>
      <c r="W11" s="735">
        <f>'14 Space Heating Detailed Costs'!$J$10</f>
        <v>950</v>
      </c>
      <c r="X11" s="735">
        <f>'14 Space Heating Detailed Costs'!$J$11</f>
        <v>1075</v>
      </c>
      <c r="Y11" s="735">
        <f>'14 Space Heating Detailed Costs'!$J$12</f>
        <v>175</v>
      </c>
      <c r="Z11" s="735">
        <f>'14 Space Heating Detailed Costs'!$J$13</f>
        <v>350</v>
      </c>
      <c r="AA11" s="735">
        <f>'14 Space Heating Detailed Costs'!$J$14</f>
        <v>875</v>
      </c>
      <c r="AB11" s="735">
        <f>'14 Space Heating Detailed Costs'!$J$15</f>
        <v>350</v>
      </c>
      <c r="AC11" s="735">
        <f>'14 Space Heating Detailed Costs'!$J$16</f>
        <v>175</v>
      </c>
      <c r="AD11" s="735">
        <f>'14 Space Heating Detailed Costs'!$J$17</f>
        <v>325</v>
      </c>
      <c r="AE11" s="735">
        <f>'14 Space Heating Detailed Costs'!$J$18</f>
        <v>375</v>
      </c>
      <c r="AF11" s="735">
        <f>'14 Space Heating Detailed Costs'!$J$19</f>
        <v>125</v>
      </c>
      <c r="AG11" s="735">
        <f>'14 Space Heating Detailed Costs'!$J$20</f>
        <v>150</v>
      </c>
      <c r="AH11" s="735">
        <f>'14 Space Heating Detailed Costs'!P59</f>
        <v>1721.5829247646905</v>
      </c>
      <c r="AI11" s="735">
        <f>'14 Space Heating Detailed Costs'!S59</f>
        <v>1747.9369275643855</v>
      </c>
      <c r="AJ11" s="735">
        <f>'14 Space Heating Detailed Costs'!P59</f>
        <v>1721.5829247646905</v>
      </c>
      <c r="AK11" s="735">
        <f>'14 Space Heating Detailed Costs'!T59</f>
        <v>1974.3054666806595</v>
      </c>
      <c r="AL11" s="735">
        <f>($AL$8*'19 General Wages'!I9)*(1+'21 Sales Taxes'!G8+'19 General Wages'!L9)*(1+'14 Space Heating Detailed Costs'!$I$5) + $AL$9*(1+'21 Sales Taxes'!H8)*(1+'14 Space Heating Detailed Costs'!$I$6)</f>
        <v>3425.7039356243522</v>
      </c>
      <c r="AM11" s="735">
        <f>'14 Space Heating Detailed Costs'!R59</f>
        <v>1089.4149175614366</v>
      </c>
      <c r="AN11" s="735">
        <f>'14 Space Heating Detailed Costs'!O41</f>
        <v>2226.8620257483481</v>
      </c>
      <c r="AO11" s="735">
        <f>'14 Space Heating Detailed Costs'!O41</f>
        <v>2226.8620257483481</v>
      </c>
      <c r="AP11" s="735">
        <f>'14 Space Heating Detailed Costs'!O41</f>
        <v>2226.8620257483481</v>
      </c>
      <c r="AQ11" s="735">
        <f>'14 Space Heating Detailed Costs'!O41</f>
        <v>2226.8620257483481</v>
      </c>
      <c r="AR11" s="735">
        <f>'14 Space Heating Detailed Costs'!O41</f>
        <v>2226.8620257483481</v>
      </c>
      <c r="AS11" s="735">
        <f>'14 Space Heating Detailed Costs'!N41</f>
        <v>730.22109392346465</v>
      </c>
      <c r="AT11" s="735">
        <f>'14 Space Heating Detailed Costs'!N41</f>
        <v>730.22109392346465</v>
      </c>
      <c r="AU11" s="735">
        <f>'14 Space Heating Detailed Costs'!N41</f>
        <v>730.22109392346465</v>
      </c>
      <c r="AV11" s="735">
        <f>'14 Space Heating Detailed Costs'!N41</f>
        <v>730.22109392346465</v>
      </c>
      <c r="AW11" s="736">
        <f>'14 Space Heating Detailed Costs'!N41</f>
        <v>730.22109392346465</v>
      </c>
    </row>
    <row r="12" spans="1:49" x14ac:dyDescent="0.25">
      <c r="B12" s="834" t="s">
        <v>60</v>
      </c>
      <c r="C12" s="735">
        <f>($C$8*'19 General Wages'!K10)*(1+'21 Sales Taxes'!G9+'19 General Wages'!L10)*(1+'14 Space Heating Detailed Costs'!$I$5) + $C$9*(1+'21 Sales Taxes'!H9)*(1+'14 Space Heating Detailed Costs'!$I$6)</f>
        <v>3443.4917328362058</v>
      </c>
      <c r="D12" s="735">
        <f>($D$8*'19 General Wages'!J10)*(1+'21 Sales Taxes'!G9+'19 General Wages'!L10)*(1+'14 Space Heating Detailed Costs'!$I$5) + $D$9*(1+'21 Sales Taxes'!H9)*(1+'14 Space Heating Detailed Costs'!$I$6)</f>
        <v>907.15995002967838</v>
      </c>
      <c r="E12" s="735">
        <f>($E$8*'19 General Wages'!J10)*(1+'21 Sales Taxes'!G9+'19 General Wages'!L10)*(1+'14 Space Heating Detailed Costs'!$I$5) + $E$9*(1+'21 Sales Taxes'!H9)*(1+'14 Space Heating Detailed Costs'!$I$6)</f>
        <v>756.57554097591878</v>
      </c>
      <c r="F12" s="735">
        <f>($F$8*'19 General Wages'!I10)*(1+'21 Sales Taxes'!G9+'19 General Wages'!L10)*(1+'14 Space Heating Detailed Costs'!$I$5) + $F$9*(1+'21 Sales Taxes'!H9)*(1+'14 Space Heating Detailed Costs'!$I$6)</f>
        <v>1038.5274595876972</v>
      </c>
      <c r="G12" s="735">
        <f>'14 Space Heating Detailed Costs'!$D$158*'19 General Wages'!T10</f>
        <v>598.71916210261315</v>
      </c>
      <c r="H12" s="735">
        <f>($H$8*'19 General Wages'!K10)*(1+'21 Sales Taxes'!G9+'19 General Wages'!L10)*(1+'14 Space Heating Detailed Costs'!$I$5) + $H$9*(1+'21 Sales Taxes'!H9)*(1+'14 Space Heating Detailed Costs'!$I$6)</f>
        <v>974.97399313322285</v>
      </c>
      <c r="I12" s="735">
        <f>'14 Space Heating Detailed Costs'!R93</f>
        <v>6640.1267638636837</v>
      </c>
      <c r="J12" s="735">
        <f>($J$8*'19 General Wages'!K10)*(1+'21 Sales Taxes'!G9+'19 General Wages'!L10)*(1+'14 Space Heating Detailed Costs'!$I$5) + $J$9*(1+'21 Sales Taxes'!H9)*(1+'14 Space Heating Detailed Costs'!$I$6)</f>
        <v>1201.6540977641102</v>
      </c>
      <c r="K12" s="735">
        <f>($K$8*'19 General Wages'!K10)*(1+'21 Sales Taxes'!G9+'19 General Wages'!L10)*(1+'14 Space Heating Detailed Costs'!$I$5) + $K$9*(1+'21 Sales Taxes'!H9)*(1+'14 Space Heating Detailed Costs'!$I$6)+'14 Space Heating Detailed Costs'!$E$136 + '14 Space Heating Detailed Costs'!$D$138</f>
        <v>16376.637828393148</v>
      </c>
      <c r="L12" s="735">
        <f>'15 Space Heating Demo &amp; Permit'!F9</f>
        <v>388.26030512108861</v>
      </c>
      <c r="M12" s="735">
        <f>'15 Space Heating Demo &amp; Permit'!F21</f>
        <v>1823.3719936761402</v>
      </c>
      <c r="N12" s="735">
        <f>'15 Space Heating Demo &amp; Permit'!F33</f>
        <v>381.0031031562084</v>
      </c>
      <c r="O12" s="735">
        <f>'15 Space Heating Demo &amp; Permit'!F45</f>
        <v>1823.3719936761402</v>
      </c>
      <c r="P12" s="735">
        <f>'15 Space Heating Demo &amp; Permit'!F57</f>
        <v>217.71605894640481</v>
      </c>
      <c r="Q12" s="735">
        <f>'15 Space Heating Demo &amp; Permit'!F69</f>
        <v>163.28704420980361</v>
      </c>
      <c r="R12" s="735">
        <f>'15 Space Heating Demo &amp; Permit'!F81</f>
        <v>816.43522104901797</v>
      </c>
      <c r="S12" s="735">
        <f>'15 Space Heating Demo &amp; Permit'!F93</f>
        <v>1179.7488944158308</v>
      </c>
      <c r="T12" s="735">
        <f>'15 Space Heating Demo &amp; Permit'!F105</f>
        <v>816.43522104901797</v>
      </c>
      <c r="U12" s="735">
        <f>'15 Space Heating Demo &amp; Permit'!F117</f>
        <v>1442.3688905199317</v>
      </c>
      <c r="V12" s="735">
        <f>'15 Space Heating Demo &amp; Permit'!F129</f>
        <v>3265.7408841960719</v>
      </c>
      <c r="W12" s="735">
        <f>'14 Space Heating Detailed Costs'!$J$10</f>
        <v>950</v>
      </c>
      <c r="X12" s="735">
        <f>'14 Space Heating Detailed Costs'!$J$11</f>
        <v>1075</v>
      </c>
      <c r="Y12" s="735">
        <f>'14 Space Heating Detailed Costs'!$J$12</f>
        <v>175</v>
      </c>
      <c r="Z12" s="735">
        <f>'14 Space Heating Detailed Costs'!$J$13</f>
        <v>350</v>
      </c>
      <c r="AA12" s="735">
        <f>'14 Space Heating Detailed Costs'!$J$14</f>
        <v>875</v>
      </c>
      <c r="AB12" s="735">
        <f>'14 Space Heating Detailed Costs'!$J$15</f>
        <v>350</v>
      </c>
      <c r="AC12" s="735">
        <f>'14 Space Heating Detailed Costs'!$J$16</f>
        <v>175</v>
      </c>
      <c r="AD12" s="735">
        <f>'14 Space Heating Detailed Costs'!$J$17</f>
        <v>325</v>
      </c>
      <c r="AE12" s="735">
        <f>'14 Space Heating Detailed Costs'!$J$18</f>
        <v>375</v>
      </c>
      <c r="AF12" s="735">
        <f>'14 Space Heating Detailed Costs'!$J$19</f>
        <v>125</v>
      </c>
      <c r="AG12" s="735">
        <f>'14 Space Heating Detailed Costs'!$J$20</f>
        <v>150</v>
      </c>
      <c r="AH12" s="735">
        <f>'14 Space Heating Detailed Costs'!P60</f>
        <v>1613.4199697319646</v>
      </c>
      <c r="AI12" s="735">
        <f>'14 Space Heating Detailed Costs'!S60</f>
        <v>1684.4697545887141</v>
      </c>
      <c r="AJ12" s="735">
        <f>'14 Space Heating Detailed Costs'!P60</f>
        <v>1613.4199697319646</v>
      </c>
      <c r="AK12" s="735">
        <f>'14 Space Heating Detailed Costs'!T60</f>
        <v>1905.6287638941881</v>
      </c>
      <c r="AL12" s="735">
        <f>($AL$8*'19 General Wages'!I10)*(1+'21 Sales Taxes'!G9+'19 General Wages'!L10)*(1+'14 Space Heating Detailed Costs'!$I$5) + $AL$9*(1+'21 Sales Taxes'!H9)*(1+'14 Space Heating Detailed Costs'!$I$6)</f>
        <v>3452.163562487317</v>
      </c>
      <c r="AM12" s="735">
        <f>'14 Space Heating Detailed Costs'!R60</f>
        <v>1056.1409574753739</v>
      </c>
      <c r="AN12" s="735">
        <f>'14 Space Heating Detailed Costs'!O42</f>
        <v>2141.4361524893252</v>
      </c>
      <c r="AO12" s="735">
        <f>'14 Space Heating Detailed Costs'!O42</f>
        <v>2141.4361524893252</v>
      </c>
      <c r="AP12" s="735">
        <f>'14 Space Heating Detailed Costs'!O42</f>
        <v>2141.4361524893252</v>
      </c>
      <c r="AQ12" s="735">
        <f>'14 Space Heating Detailed Costs'!O42</f>
        <v>2141.4361524893252</v>
      </c>
      <c r="AR12" s="735">
        <f>'14 Space Heating Detailed Costs'!O42</f>
        <v>2141.4361524893252</v>
      </c>
      <c r="AS12" s="735">
        <f>'14 Space Heating Detailed Costs'!N42</f>
        <v>713.41615904991556</v>
      </c>
      <c r="AT12" s="735">
        <f>'14 Space Heating Detailed Costs'!N42</f>
        <v>713.41615904991556</v>
      </c>
      <c r="AU12" s="735">
        <f>'14 Space Heating Detailed Costs'!N42</f>
        <v>713.41615904991556</v>
      </c>
      <c r="AV12" s="735">
        <f>'14 Space Heating Detailed Costs'!N42</f>
        <v>713.41615904991556</v>
      </c>
      <c r="AW12" s="736">
        <f>'14 Space Heating Detailed Costs'!N42</f>
        <v>713.41615904991556</v>
      </c>
    </row>
    <row r="13" spans="1:49" x14ac:dyDescent="0.25">
      <c r="B13" s="834" t="s">
        <v>41</v>
      </c>
      <c r="C13" s="735">
        <f>($C$8*'19 General Wages'!K11)*(1+'21 Sales Taxes'!G10+'19 General Wages'!L11)*(1+'14 Space Heating Detailed Costs'!$I$5) + $C$9*(1+'21 Sales Taxes'!H10)*(1+'14 Space Heating Detailed Costs'!$I$6)</f>
        <v>3435.9556724815575</v>
      </c>
      <c r="D13" s="735">
        <f>($D$8*'19 General Wages'!J11)*(1+'21 Sales Taxes'!G10+'19 General Wages'!L11)*(1+'14 Space Heating Detailed Costs'!$I$5) + $D$9*(1+'21 Sales Taxes'!H10)*(1+'14 Space Heating Detailed Costs'!$I$6)</f>
        <v>843.35029717663917</v>
      </c>
      <c r="E13" s="735">
        <f>($E$8*'19 General Wages'!J11)*(1+'21 Sales Taxes'!G10+'19 General Wages'!L11)*(1+'14 Space Heating Detailed Costs'!$I$5) + $E$9*(1+'21 Sales Taxes'!H10)*(1+'14 Space Heating Detailed Costs'!$I$6)</f>
        <v>696.85804799962432</v>
      </c>
      <c r="F13" s="735">
        <f>($F$8*'19 General Wages'!I11)*(1+'21 Sales Taxes'!G10+'19 General Wages'!L11)*(1+'14 Space Heating Detailed Costs'!$I$5) + $F$9*(1+'21 Sales Taxes'!H10)*(1+'14 Space Heating Detailed Costs'!$I$6)</f>
        <v>1030.0582004021371</v>
      </c>
      <c r="G13" s="735">
        <f>'14 Space Heating Detailed Costs'!$D$158*'19 General Wages'!T11</f>
        <v>562.62764341015895</v>
      </c>
      <c r="H13" s="735">
        <f>($H$8*'19 General Wages'!K11)*(1+'21 Sales Taxes'!G10+'19 General Wages'!L11)*(1+'14 Space Heating Detailed Costs'!$I$5) + $H$9*(1+'21 Sales Taxes'!H10)*(1+'14 Space Heating Detailed Costs'!$I$6)</f>
        <v>945.81303998064254</v>
      </c>
      <c r="I13" s="735">
        <f>'14 Space Heating Detailed Costs'!R91</f>
        <v>5302.5472718623651</v>
      </c>
      <c r="J13" s="735">
        <f>($J$8*'19 General Wages'!K11)*(1+'21 Sales Taxes'!G10+'19 General Wages'!L11)*(1+'14 Space Heating Detailed Costs'!$I$5) + $J$9*(1+'21 Sales Taxes'!H10)*(1+'14 Space Heating Detailed Costs'!$I$6)</f>
        <v>1171.2854324814712</v>
      </c>
      <c r="K13" s="735">
        <f>($K$8*'19 General Wages'!K11)*(1+'21 Sales Taxes'!G10+'19 General Wages'!L11)*(1+'14 Space Heating Detailed Costs'!$I$5) + $K$9*(1+'21 Sales Taxes'!H10)*(1+'14 Space Heating Detailed Costs'!$I$6)+'14 Space Heating Detailed Costs'!$E$136 + '14 Space Heating Detailed Costs'!$D$138</f>
        <v>15945.753542114233</v>
      </c>
      <c r="L13" s="735">
        <f>'15 Space Heating Demo &amp; Permit'!F10</f>
        <v>364.85550209022432</v>
      </c>
      <c r="M13" s="735">
        <f>'15 Space Heating Demo &amp; Permit'!F22</f>
        <v>1713.4569140218478</v>
      </c>
      <c r="N13" s="735">
        <f>'15 Space Heating Demo &amp; Permit'!F34</f>
        <v>358.0357730791921</v>
      </c>
      <c r="O13" s="735">
        <f>'15 Space Heating Demo &amp; Permit'!F46</f>
        <v>1713.4569140218478</v>
      </c>
      <c r="P13" s="735">
        <f>'15 Space Heating Demo &amp; Permit'!F58</f>
        <v>204.59187033096691</v>
      </c>
      <c r="Q13" s="735">
        <f>'15 Space Heating Demo &amp; Permit'!F70</f>
        <v>153.44390274822518</v>
      </c>
      <c r="R13" s="735">
        <f>'15 Space Heating Demo &amp; Permit'!F82</f>
        <v>767.21951374112587</v>
      </c>
      <c r="S13" s="735">
        <f>'15 Space Heating Demo &amp; Permit'!F94</f>
        <v>895.72878229276455</v>
      </c>
      <c r="T13" s="735">
        <f>'15 Space Heating Demo &amp; Permit'!F106</f>
        <v>767.21951374112587</v>
      </c>
      <c r="U13" s="735">
        <f>'15 Space Heating Demo &amp; Permit'!F118</f>
        <v>1355.4211409426557</v>
      </c>
      <c r="V13" s="735">
        <f>'15 Space Heating Demo &amp; Permit'!F130</f>
        <v>3068.8780549645035</v>
      </c>
      <c r="W13" s="735">
        <f>'14 Space Heating Detailed Costs'!$J$10</f>
        <v>950</v>
      </c>
      <c r="X13" s="735">
        <f>'14 Space Heating Detailed Costs'!$J$11</f>
        <v>1075</v>
      </c>
      <c r="Y13" s="735">
        <f>'14 Space Heating Detailed Costs'!$J$12</f>
        <v>175</v>
      </c>
      <c r="Z13" s="735">
        <f>'14 Space Heating Detailed Costs'!$J$13</f>
        <v>350</v>
      </c>
      <c r="AA13" s="735">
        <f>'14 Space Heating Detailed Costs'!$J$14</f>
        <v>875</v>
      </c>
      <c r="AB13" s="735">
        <f>'14 Space Heating Detailed Costs'!$J$15</f>
        <v>350</v>
      </c>
      <c r="AC13" s="735">
        <f>'14 Space Heating Detailed Costs'!$J$16</f>
        <v>175</v>
      </c>
      <c r="AD13" s="735">
        <f>'14 Space Heating Detailed Costs'!$J$17</f>
        <v>325</v>
      </c>
      <c r="AE13" s="735">
        <f>'14 Space Heating Detailed Costs'!$J$18</f>
        <v>375</v>
      </c>
      <c r="AF13" s="735">
        <f>'14 Space Heating Detailed Costs'!$J$19</f>
        <v>125</v>
      </c>
      <c r="AG13" s="735">
        <f>'14 Space Heating Detailed Costs'!$J$20</f>
        <v>150</v>
      </c>
      <c r="AH13" s="735">
        <f>'14 Space Heating Detailed Costs'!P61</f>
        <v>1464.3213208336072</v>
      </c>
      <c r="AI13" s="735">
        <f>'14 Space Heating Detailed Costs'!S61</f>
        <v>1629.3105997919872</v>
      </c>
      <c r="AJ13" s="735">
        <f>'14 Space Heating Detailed Costs'!P61</f>
        <v>1464.3213208336072</v>
      </c>
      <c r="AK13" s="735">
        <f>'14 Space Heating Detailed Costs'!T61</f>
        <v>0</v>
      </c>
      <c r="AL13" s="735">
        <f>($AL$8*'19 General Wages'!I11)*(1+'21 Sales Taxes'!G10+'19 General Wages'!L11)*(1+'14 Space Heating Detailed Costs'!$I$5) + $AL$9*(1+'21 Sales Taxes'!H10)*(1+'14 Space Heating Detailed Costs'!$I$6)</f>
        <v>3434.2996503118011</v>
      </c>
      <c r="AM13" s="735">
        <f>'14 Space Heating Detailed Costs'!R61</f>
        <v>0</v>
      </c>
      <c r="AN13" s="735">
        <f>'14 Space Heating Detailed Costs'!O43</f>
        <v>2063.9561167115035</v>
      </c>
      <c r="AO13" s="735">
        <f>'14 Space Heating Detailed Costs'!O43</f>
        <v>2063.9561167115035</v>
      </c>
      <c r="AP13" s="735">
        <f>'14 Space Heating Detailed Costs'!O43</f>
        <v>2063.9561167115035</v>
      </c>
      <c r="AQ13" s="735">
        <f>'14 Space Heating Detailed Costs'!O43</f>
        <v>2063.9561167115035</v>
      </c>
      <c r="AR13" s="735">
        <f>'14 Space Heating Detailed Costs'!O43</f>
        <v>2063.9561167115035</v>
      </c>
      <c r="AS13" s="735">
        <f>'14 Space Heating Detailed Costs'!N43</f>
        <v>705.68887633801546</v>
      </c>
      <c r="AT13" s="735">
        <f>'14 Space Heating Detailed Costs'!N43</f>
        <v>705.68887633801546</v>
      </c>
      <c r="AU13" s="735">
        <f>'14 Space Heating Detailed Costs'!N43</f>
        <v>705.68887633801546</v>
      </c>
      <c r="AV13" s="735">
        <f>'14 Space Heating Detailed Costs'!N43</f>
        <v>705.68887633801546</v>
      </c>
      <c r="AW13" s="736">
        <f>'14 Space Heating Detailed Costs'!N43</f>
        <v>705.68887633801546</v>
      </c>
    </row>
    <row r="14" spans="1:49" x14ac:dyDescent="0.25">
      <c r="B14" s="834" t="s">
        <v>44</v>
      </c>
      <c r="C14" s="735">
        <f>($C$8*'19 General Wages'!K12)*(1+'21 Sales Taxes'!G11+'19 General Wages'!L12)*(1+'14 Space Heating Detailed Costs'!$I$5) + $C$9*(1+'21 Sales Taxes'!H11)*(1+'14 Space Heating Detailed Costs'!$I$6)</f>
        <v>3468.8459097428681</v>
      </c>
      <c r="D14" s="735">
        <f>($D$8*'19 General Wages'!J12)*(1+'21 Sales Taxes'!G11+'19 General Wages'!L12)*(1+'14 Space Heating Detailed Costs'!$I$5) + $D$9*(1+'21 Sales Taxes'!H11)*(1+'14 Space Heating Detailed Costs'!$I$6)</f>
        <v>820.68358859944465</v>
      </c>
      <c r="E14" s="735">
        <f>($E$8*'19 General Wages'!J12)*(1+'21 Sales Taxes'!G11+'19 General Wages'!L12)*(1+'14 Space Heating Detailed Costs'!$I$5) + $E$9*(1+'21 Sales Taxes'!H11)*(1+'14 Space Heating Detailed Costs'!$I$6)</f>
        <v>675.67300298865632</v>
      </c>
      <c r="F14" s="735">
        <f>($F$8*'19 General Wages'!I12)*(1+'21 Sales Taxes'!G11+'19 General Wages'!L12)*(1+'14 Space Heating Detailed Costs'!$I$5) + $F$9*(1+'21 Sales Taxes'!H11)*(1+'14 Space Heating Detailed Costs'!$I$6)</f>
        <v>1019.7733001269207</v>
      </c>
      <c r="G14" s="735">
        <f>'14 Space Heating Detailed Costs'!$D$158*'19 General Wages'!T12</f>
        <v>563.45847261996835</v>
      </c>
      <c r="H14" s="735">
        <f>($H$8*'19 General Wages'!K12)*(1+'21 Sales Taxes'!G11+'19 General Wages'!L12)*(1+'14 Space Heating Detailed Costs'!$I$5) + $H$9*(1+'21 Sales Taxes'!H11)*(1+'14 Space Heating Detailed Costs'!$I$6)</f>
        <v>960.52408193390738</v>
      </c>
      <c r="I14" s="735">
        <f>'14 Space Heating Detailed Costs'!R98</f>
        <v>6640.1267638636837</v>
      </c>
      <c r="J14" s="735">
        <f>($J$8*'19 General Wages'!K12)*(1+'21 Sales Taxes'!G11+'19 General Wages'!L12)*(1+'14 Space Heating Detailed Costs'!$I$5) + $J$9*(1+'21 Sales Taxes'!H11)*(1+'14 Space Heating Detailed Costs'!$I$6)</f>
        <v>1188.3037374528703</v>
      </c>
      <c r="K14" s="735">
        <f>($K$8*'19 General Wages'!K12)*(1+'21 Sales Taxes'!G11+'19 General Wages'!L12)*(1+'14 Space Heating Detailed Costs'!$I$5) + $K$9*(1+'21 Sales Taxes'!H11)*(1+'14 Space Heating Detailed Costs'!$I$6)+'14 Space Heating Detailed Costs'!$E$136 + '14 Space Heating Detailed Costs'!$D$138</f>
        <v>16165.660759358274</v>
      </c>
      <c r="L14" s="735">
        <f>'15 Space Heating Demo &amp; Permit'!F11</f>
        <v>365.39428224446436</v>
      </c>
      <c r="M14" s="735">
        <f>'15 Space Heating Demo &amp; Permit'!F23</f>
        <v>1715.9871666153581</v>
      </c>
      <c r="N14" s="735">
        <f>'15 Space Heating Demo &amp; Permit'!F35</f>
        <v>358.56448257634349</v>
      </c>
      <c r="O14" s="735">
        <f>'15 Space Heating Demo &amp; Permit'!F47</f>
        <v>1715.9871666153581</v>
      </c>
      <c r="P14" s="735">
        <f>'15 Space Heating Demo &amp; Permit'!F59</f>
        <v>204.89399004362485</v>
      </c>
      <c r="Q14" s="735">
        <f>'15 Space Heating Demo &amp; Permit'!F71</f>
        <v>153.67049253271864</v>
      </c>
      <c r="R14" s="735">
        <f>'15 Space Heating Demo &amp; Permit'!F83</f>
        <v>768.3524626635932</v>
      </c>
      <c r="S14" s="735">
        <f>'15 Space Heating Demo &amp; Permit'!F95</f>
        <v>897.05150015974505</v>
      </c>
      <c r="T14" s="735">
        <f>'15 Space Heating Demo &amp; Permit'!F107</f>
        <v>768.3524626635932</v>
      </c>
      <c r="U14" s="735">
        <f>'15 Space Heating Demo &amp; Permit'!F119</f>
        <v>1357.4226840390147</v>
      </c>
      <c r="V14" s="735">
        <f>'15 Space Heating Demo &amp; Permit'!F131</f>
        <v>3073.4098506543728</v>
      </c>
      <c r="W14" s="735">
        <f>'14 Space Heating Detailed Costs'!$J$10</f>
        <v>950</v>
      </c>
      <c r="X14" s="735">
        <f>'14 Space Heating Detailed Costs'!$J$11</f>
        <v>1075</v>
      </c>
      <c r="Y14" s="735">
        <f>'14 Space Heating Detailed Costs'!$J$12</f>
        <v>175</v>
      </c>
      <c r="Z14" s="735">
        <f>'14 Space Heating Detailed Costs'!$J$13</f>
        <v>350</v>
      </c>
      <c r="AA14" s="735">
        <f>'14 Space Heating Detailed Costs'!$J$14</f>
        <v>875</v>
      </c>
      <c r="AB14" s="735">
        <f>'14 Space Heating Detailed Costs'!$J$15</f>
        <v>350</v>
      </c>
      <c r="AC14" s="735">
        <f>'14 Space Heating Detailed Costs'!$J$16</f>
        <v>175</v>
      </c>
      <c r="AD14" s="735">
        <f>'14 Space Heating Detailed Costs'!$J$17</f>
        <v>325</v>
      </c>
      <c r="AE14" s="735">
        <f>'14 Space Heating Detailed Costs'!$J$18</f>
        <v>375</v>
      </c>
      <c r="AF14" s="735">
        <f>'14 Space Heating Detailed Costs'!$J$19</f>
        <v>125</v>
      </c>
      <c r="AG14" s="735">
        <f>'14 Space Heating Detailed Costs'!$J$20</f>
        <v>150</v>
      </c>
      <c r="AH14" s="735">
        <f>'14 Space Heating Detailed Costs'!P62</f>
        <v>1534.0051468239053</v>
      </c>
      <c r="AI14" s="735">
        <f>'14 Space Heating Detailed Costs'!S62</f>
        <v>1655.6812873222243</v>
      </c>
      <c r="AJ14" s="735">
        <f>'14 Space Heating Detailed Costs'!P62</f>
        <v>1534.0051468239053</v>
      </c>
      <c r="AK14" s="735">
        <f>'14 Space Heating Detailed Costs'!T62</f>
        <v>0</v>
      </c>
      <c r="AL14" s="735">
        <f>($AL$8*'19 General Wages'!I12)*(1+'21 Sales Taxes'!G11+'19 General Wages'!L12)*(1+'14 Space Heating Detailed Costs'!$I$5) + $AL$9*(1+'21 Sales Taxes'!H11)*(1+'14 Space Heating Detailed Costs'!$I$6)</f>
        <v>3406.4669612294447</v>
      </c>
      <c r="AM14" s="735">
        <f>'14 Space Heating Detailed Costs'!R62</f>
        <v>0</v>
      </c>
      <c r="AN14" s="735">
        <f>'14 Space Heating Detailed Costs'!O44</f>
        <v>2098.950288390598</v>
      </c>
      <c r="AO14" s="735">
        <f>'14 Space Heating Detailed Costs'!O44</f>
        <v>2098.950288390598</v>
      </c>
      <c r="AP14" s="735">
        <f>'14 Space Heating Detailed Costs'!O44</f>
        <v>2098.950288390598</v>
      </c>
      <c r="AQ14" s="735">
        <f>'14 Space Heating Detailed Costs'!O44</f>
        <v>2098.950288390598</v>
      </c>
      <c r="AR14" s="735">
        <f>'14 Space Heating Detailed Costs'!O44</f>
        <v>2098.950288390598</v>
      </c>
      <c r="AS14" s="735">
        <f>'14 Space Heating Detailed Costs'!N44</f>
        <v>713.73466005193018</v>
      </c>
      <c r="AT14" s="735">
        <f>'14 Space Heating Detailed Costs'!N44</f>
        <v>713.73466005193018</v>
      </c>
      <c r="AU14" s="735">
        <f>'14 Space Heating Detailed Costs'!N44</f>
        <v>713.73466005193018</v>
      </c>
      <c r="AV14" s="735">
        <f>'14 Space Heating Detailed Costs'!N44</f>
        <v>713.73466005193018</v>
      </c>
      <c r="AW14" s="736">
        <f>'14 Space Heating Detailed Costs'!N44</f>
        <v>713.73466005193018</v>
      </c>
    </row>
    <row r="15" spans="1:49" x14ac:dyDescent="0.25">
      <c r="B15" s="834" t="s">
        <v>34</v>
      </c>
      <c r="C15" s="735">
        <f>($C$8*'19 General Wages'!K13)*(1+'21 Sales Taxes'!G12+'19 General Wages'!L13)*(1+'14 Space Heating Detailed Costs'!$I$5) + $C$9*(1+'21 Sales Taxes'!H12)*(1+'14 Space Heating Detailed Costs'!$I$6)</f>
        <v>3295.4471357034722</v>
      </c>
      <c r="D15" s="735">
        <f>($D$8*'19 General Wages'!J13)*(1+'21 Sales Taxes'!G12+'19 General Wages'!L13)*(1+'14 Space Heating Detailed Costs'!$I$5) + $D$9*(1+'21 Sales Taxes'!H12)*(1+'14 Space Heating Detailed Costs'!$I$6)</f>
        <v>697.24587310345714</v>
      </c>
      <c r="E15" s="735">
        <f>($E$8*'19 General Wages'!J13)*(1+'21 Sales Taxes'!G12+'19 General Wages'!L13)*(1+'14 Space Heating Detailed Costs'!$I$5) + $E$9*(1+'21 Sales Taxes'!H12)*(1+'14 Space Heating Detailed Costs'!$I$6)</f>
        <v>563.35204497488803</v>
      </c>
      <c r="F15" s="735">
        <f>($F$8*'19 General Wages'!I13)*(1+'21 Sales Taxes'!G12+'19 General Wages'!L13)*(1+'14 Space Heating Detailed Costs'!$I$5) + $F$9*(1+'21 Sales Taxes'!H12)*(1+'14 Space Heating Detailed Costs'!$I$6)</f>
        <v>958.6717880951943</v>
      </c>
      <c r="G15" s="735">
        <f>'14 Space Heating Detailed Costs'!$D$158*'19 General Wages'!T13</f>
        <v>504.66790983762627</v>
      </c>
      <c r="H15" s="735">
        <f>($H$8*'19 General Wages'!K13)*(1+'21 Sales Taxes'!G12+'19 General Wages'!L13)*(1+'14 Space Heating Detailed Costs'!$I$5) + $H$9*(1+'21 Sales Taxes'!H12)*(1+'14 Space Heating Detailed Costs'!$I$6)</f>
        <v>854.85146689098644</v>
      </c>
      <c r="I15" s="735">
        <f>'14 Space Heating Detailed Costs'!R97</f>
        <v>4633.7575258617071</v>
      </c>
      <c r="J15" s="735">
        <f>($J$8*'19 General Wages'!K13)*(1+'21 Sales Taxes'!G12+'19 General Wages'!L13)*(1+'14 Space Heating Detailed Costs'!$I$5) + $J$9*(1+'21 Sales Taxes'!H12)*(1+'14 Space Heating Detailed Costs'!$I$6)</f>
        <v>1069.7268561231931</v>
      </c>
      <c r="K15" s="735">
        <f>($K$8*'19 General Wages'!K13)*(1+'21 Sales Taxes'!G12+'19 General Wages'!L13)*(1+'14 Space Heating Detailed Costs'!$I$5) + $K$9*(1+'21 Sales Taxes'!H12)*(1+'14 Space Heating Detailed Costs'!$I$6)+'14 Space Heating Detailed Costs'!$E$136 + '14 Space Heating Detailed Costs'!$D$138</f>
        <v>14591.49919710904</v>
      </c>
      <c r="L15" s="735">
        <f>'15 Space Heating Demo &amp; Permit'!F12</f>
        <v>327.26949304621826</v>
      </c>
      <c r="M15" s="735">
        <f>'15 Space Heating Demo &amp; Permit'!F24</f>
        <v>1536.9431799600436</v>
      </c>
      <c r="N15" s="735">
        <f>'15 Space Heating Demo &amp; Permit'!F36</f>
        <v>321.15230626030763</v>
      </c>
      <c r="O15" s="735">
        <f>'15 Space Heating Demo &amp; Permit'!F48</f>
        <v>1536.9431799600436</v>
      </c>
      <c r="P15" s="735">
        <f>'15 Space Heating Demo &amp; Permit'!F60</f>
        <v>183.51560357731864</v>
      </c>
      <c r="Q15" s="735">
        <f>'15 Space Heating Demo &amp; Permit'!F72</f>
        <v>137.63670268298898</v>
      </c>
      <c r="R15" s="735">
        <f>'15 Space Heating Demo &amp; Permit'!F84</f>
        <v>688.18351341494485</v>
      </c>
      <c r="S15" s="735">
        <f>'15 Space Heating Demo &amp; Permit'!F96</f>
        <v>994.42517688459532</v>
      </c>
      <c r="T15" s="735">
        <f>'15 Space Heating Demo &amp; Permit'!F108</f>
        <v>688.18351341494485</v>
      </c>
      <c r="U15" s="735">
        <f>'15 Space Heating Demo &amp; Permit'!F120</f>
        <v>1215.790873699736</v>
      </c>
      <c r="V15" s="735">
        <f>'15 Space Heating Demo &amp; Permit'!F132</f>
        <v>2752.7340536597794</v>
      </c>
      <c r="W15" s="735">
        <f>'14 Space Heating Detailed Costs'!$J$10</f>
        <v>950</v>
      </c>
      <c r="X15" s="735">
        <f>'14 Space Heating Detailed Costs'!$J$11</f>
        <v>1075</v>
      </c>
      <c r="Y15" s="735">
        <f>'14 Space Heating Detailed Costs'!$J$12</f>
        <v>175</v>
      </c>
      <c r="Z15" s="735">
        <f>'14 Space Heating Detailed Costs'!$J$13</f>
        <v>350</v>
      </c>
      <c r="AA15" s="735">
        <f>'14 Space Heating Detailed Costs'!$J$14</f>
        <v>875</v>
      </c>
      <c r="AB15" s="735">
        <f>'14 Space Heating Detailed Costs'!$J$15</f>
        <v>350</v>
      </c>
      <c r="AC15" s="735">
        <f>'14 Space Heating Detailed Costs'!$J$16</f>
        <v>175</v>
      </c>
      <c r="AD15" s="735">
        <f>'14 Space Heating Detailed Costs'!$J$17</f>
        <v>325</v>
      </c>
      <c r="AE15" s="735">
        <f>'14 Space Heating Detailed Costs'!$J$18</f>
        <v>375</v>
      </c>
      <c r="AF15" s="735">
        <f>'14 Space Heating Detailed Costs'!$J$19</f>
        <v>125</v>
      </c>
      <c r="AG15" s="735">
        <f>'14 Space Heating Detailed Costs'!$J$20</f>
        <v>150</v>
      </c>
      <c r="AH15" s="735">
        <f>'14 Space Heating Detailed Costs'!P63</f>
        <v>1048.3943419795303</v>
      </c>
      <c r="AI15" s="735">
        <f>'14 Space Heating Detailed Costs'!S63</f>
        <v>1369.2022452914928</v>
      </c>
      <c r="AJ15" s="735">
        <f>'14 Space Heating Detailed Costs'!P63</f>
        <v>1048.3943419795303</v>
      </c>
      <c r="AK15" s="735">
        <f>'14 Space Heating Detailed Costs'!T63</f>
        <v>0</v>
      </c>
      <c r="AL15" s="735">
        <f>($AL$8*'19 General Wages'!I13)*(1+'21 Sales Taxes'!G12+'19 General Wages'!L13)*(1+'14 Space Heating Detailed Costs'!$I$5) + $AL$9*(1+'21 Sales Taxes'!H12)*(1+'14 Space Heating Detailed Costs'!$I$6)</f>
        <v>3223.2637344323507</v>
      </c>
      <c r="AM15" s="735">
        <f>'14 Space Heating Detailed Costs'!R63</f>
        <v>0</v>
      </c>
      <c r="AN15" s="735">
        <f>'14 Space Heating Detailed Costs'!O45</f>
        <v>1838.7352657598301</v>
      </c>
      <c r="AO15" s="735">
        <f>'14 Space Heating Detailed Costs'!O45</f>
        <v>1838.7352657598301</v>
      </c>
      <c r="AP15" s="735">
        <f>'14 Space Heating Detailed Costs'!O45</f>
        <v>1838.7352657598301</v>
      </c>
      <c r="AQ15" s="735">
        <f>'14 Space Heating Detailed Costs'!O45</f>
        <v>1838.7352657598301</v>
      </c>
      <c r="AR15" s="735">
        <f>'14 Space Heating Detailed Costs'!O45</f>
        <v>1838.7352657598301</v>
      </c>
      <c r="AS15" s="735">
        <f>'14 Space Heating Detailed Costs'!N45</f>
        <v>664.9027145889869</v>
      </c>
      <c r="AT15" s="735">
        <f>'14 Space Heating Detailed Costs'!N45</f>
        <v>664.9027145889869</v>
      </c>
      <c r="AU15" s="735">
        <f>'14 Space Heating Detailed Costs'!N45</f>
        <v>664.9027145889869</v>
      </c>
      <c r="AV15" s="735">
        <f>'14 Space Heating Detailed Costs'!N45</f>
        <v>664.9027145889869</v>
      </c>
      <c r="AW15" s="736">
        <f>'14 Space Heating Detailed Costs'!N45</f>
        <v>664.9027145889869</v>
      </c>
    </row>
    <row r="16" spans="1:49" x14ac:dyDescent="0.25">
      <c r="B16" s="834" t="s">
        <v>20</v>
      </c>
      <c r="C16" s="735">
        <f>($C$8*'19 General Wages'!K14)*(1+'21 Sales Taxes'!G13+'19 General Wages'!L14)*(1+'14 Space Heating Detailed Costs'!$I$5) + $C$9*(1+'21 Sales Taxes'!H13)*(1+'14 Space Heating Detailed Costs'!$I$6)</f>
        <v>3290.692480078817</v>
      </c>
      <c r="D16" s="735">
        <f>($D$8*'19 General Wages'!J14)*(1+'21 Sales Taxes'!G13+'19 General Wages'!L14)*(1+'14 Space Heating Detailed Costs'!$I$5) + $D$9*(1+'21 Sales Taxes'!H13)*(1+'14 Space Heating Detailed Costs'!$I$6)</f>
        <v>704.43969835010193</v>
      </c>
      <c r="E16" s="735">
        <f>($E$8*'19 General Wages'!J14)*(1+'21 Sales Taxes'!G13+'19 General Wages'!L14)*(1+'14 Space Heating Detailed Costs'!$I$5) + $E$9*(1+'21 Sales Taxes'!H13)*(1+'14 Space Heating Detailed Costs'!$I$6)</f>
        <v>568.88553619295817</v>
      </c>
      <c r="F16" s="735">
        <f>($F$8*'19 General Wages'!I14)*(1+'21 Sales Taxes'!G13+'19 General Wages'!L14)*(1+'14 Space Heating Detailed Costs'!$I$5) + $F$9*(1+'21 Sales Taxes'!H13)*(1+'14 Space Heating Detailed Costs'!$I$6)</f>
        <v>975.02037758006929</v>
      </c>
      <c r="G16" s="735">
        <f>'14 Space Heating Detailed Costs'!$D$158*'19 General Wages'!T14</f>
        <v>467.44548826103636</v>
      </c>
      <c r="H16" s="735">
        <f>($H$8*'19 General Wages'!K14)*(1+'21 Sales Taxes'!G13+'19 General Wages'!L14)*(1+'14 Space Heating Detailed Costs'!$I$5) + $H$9*(1+'21 Sales Taxes'!H13)*(1+'14 Space Heating Detailed Costs'!$I$6)</f>
        <v>831.67376995478423</v>
      </c>
      <c r="I16" s="735">
        <f>'14 Space Heating Detailed Costs'!R92</f>
        <v>4633.7575258617071</v>
      </c>
      <c r="J16" s="735">
        <f>($J$8*'19 General Wages'!K14)*(1+'21 Sales Taxes'!G13+'19 General Wages'!L14)*(1+'14 Space Heating Detailed Costs'!$I$5) + $J$9*(1+'21 Sales Taxes'!H13)*(1+'14 Space Heating Detailed Costs'!$I$6)</f>
        <v>1045.6613462854311</v>
      </c>
      <c r="K16" s="735">
        <f>($K$8*'19 General Wages'!K14)*(1+'21 Sales Taxes'!G13+'19 General Wages'!L14)*(1+'14 Space Heating Detailed Costs'!$I$5) + $K$9*(1+'21 Sales Taxes'!H13)*(1+'14 Space Heating Detailed Costs'!$I$6)+'14 Space Heating Detailed Costs'!$E$136 + '14 Space Heating Detailed Costs'!$D$138</f>
        <v>14249.131600077813</v>
      </c>
      <c r="L16" s="735">
        <f>'15 Space Heating Demo &amp; Permit'!F13</f>
        <v>303.13131662988422</v>
      </c>
      <c r="M16" s="735">
        <f>'15 Space Heating Demo &amp; Permit'!F25</f>
        <v>1423.5839869767926</v>
      </c>
      <c r="N16" s="735">
        <f>'15 Space Heating Demo &amp; Permit'!F37</f>
        <v>297.46531071156858</v>
      </c>
      <c r="O16" s="735">
        <f>'15 Space Heating Demo &amp; Permit'!F49</f>
        <v>1423.5839869767926</v>
      </c>
      <c r="P16" s="735">
        <f>'15 Space Heating Demo &amp; Permit'!F61</f>
        <v>169.98017754946778</v>
      </c>
      <c r="Q16" s="735">
        <f>'15 Space Heating Demo &amp; Permit'!F73</f>
        <v>127.48513316210082</v>
      </c>
      <c r="R16" s="735">
        <f>'15 Space Heating Demo &amp; Permit'!F85</f>
        <v>637.42566581050414</v>
      </c>
      <c r="S16" s="735">
        <f>'15 Space Heating Demo &amp; Permit'!F97</f>
        <v>685.23259074629198</v>
      </c>
      <c r="T16" s="735">
        <f>'15 Space Heating Demo &amp; Permit'!F109</f>
        <v>637.42566581050414</v>
      </c>
      <c r="U16" s="735">
        <f>'15 Space Heating Demo &amp; Permit'!F121</f>
        <v>1126.1186762652239</v>
      </c>
      <c r="V16" s="735">
        <f>'15 Space Heating Demo &amp; Permit'!F133</f>
        <v>2549.7026632420166</v>
      </c>
      <c r="W16" s="735">
        <f>'14 Space Heating Detailed Costs'!$J$10</f>
        <v>950</v>
      </c>
      <c r="X16" s="735">
        <f>'14 Space Heating Detailed Costs'!$J$11</f>
        <v>1075</v>
      </c>
      <c r="Y16" s="735">
        <f>'14 Space Heating Detailed Costs'!$J$12</f>
        <v>175</v>
      </c>
      <c r="Z16" s="735">
        <f>'14 Space Heating Detailed Costs'!$J$13</f>
        <v>350</v>
      </c>
      <c r="AA16" s="735">
        <f>'14 Space Heating Detailed Costs'!$J$14</f>
        <v>875</v>
      </c>
      <c r="AB16" s="735">
        <f>'14 Space Heating Detailed Costs'!$J$15</f>
        <v>350</v>
      </c>
      <c r="AC16" s="735">
        <f>'14 Space Heating Detailed Costs'!$J$16</f>
        <v>175</v>
      </c>
      <c r="AD16" s="735">
        <f>'14 Space Heating Detailed Costs'!$J$17</f>
        <v>325</v>
      </c>
      <c r="AE16" s="735">
        <f>'14 Space Heating Detailed Costs'!$J$18</f>
        <v>375</v>
      </c>
      <c r="AF16" s="735">
        <f>'14 Space Heating Detailed Costs'!$J$19</f>
        <v>125</v>
      </c>
      <c r="AG16" s="735">
        <f>'14 Space Heating Detailed Costs'!$J$20</f>
        <v>150</v>
      </c>
      <c r="AH16" s="735">
        <f>'14 Space Heating Detailed Costs'!P64</f>
        <v>994.19091977887297</v>
      </c>
      <c r="AI16" s="735">
        <f>'14 Space Heating Detailed Costs'!S64</f>
        <v>1329.7621099739704</v>
      </c>
      <c r="AJ16" s="735">
        <f>'14 Space Heating Detailed Costs'!P64</f>
        <v>994.19091977887297</v>
      </c>
      <c r="AK16" s="735">
        <f>'14 Space Heating Detailed Costs'!T64</f>
        <v>0</v>
      </c>
      <c r="AL16" s="735">
        <f>($AL$8*'19 General Wages'!I14)*(1+'21 Sales Taxes'!G13+'19 General Wages'!L14)*(1+'14 Space Heating Detailed Costs'!$I$5) + $AL$9*(1+'21 Sales Taxes'!H13)*(1+'14 Space Heating Detailed Costs'!$I$6)</f>
        <v>3276.9804832010982</v>
      </c>
      <c r="AM16" s="735">
        <f>'14 Space Heating Detailed Costs'!R64</f>
        <v>0</v>
      </c>
      <c r="AN16" s="735">
        <f>'14 Space Heating Detailed Costs'!O46</f>
        <v>1776.9788288387601</v>
      </c>
      <c r="AO16" s="735">
        <f>'14 Space Heating Detailed Costs'!O46</f>
        <v>1776.9788288387601</v>
      </c>
      <c r="AP16" s="735">
        <f>'14 Space Heating Detailed Costs'!O46</f>
        <v>1776.9788288387601</v>
      </c>
      <c r="AQ16" s="735">
        <f>'14 Space Heating Detailed Costs'!O46</f>
        <v>1776.9788288387601</v>
      </c>
      <c r="AR16" s="735">
        <f>'14 Space Heating Detailed Costs'!O46</f>
        <v>1776.9788288387601</v>
      </c>
      <c r="AS16" s="735">
        <f>'14 Space Heating Detailed Costs'!N46</f>
        <v>658.93703167678586</v>
      </c>
      <c r="AT16" s="735">
        <f>'14 Space Heating Detailed Costs'!N46</f>
        <v>658.93703167678586</v>
      </c>
      <c r="AU16" s="735">
        <f>'14 Space Heating Detailed Costs'!N46</f>
        <v>658.93703167678586</v>
      </c>
      <c r="AV16" s="735">
        <f>'14 Space Heating Detailed Costs'!N46</f>
        <v>658.93703167678586</v>
      </c>
      <c r="AW16" s="736">
        <f>'14 Space Heating Detailed Costs'!N46</f>
        <v>658.93703167678586</v>
      </c>
    </row>
    <row r="17" spans="2:49" x14ac:dyDescent="0.25">
      <c r="B17" s="834" t="s">
        <v>27</v>
      </c>
      <c r="C17" s="735">
        <f>($C$8*'19 General Wages'!K15)*(1+'21 Sales Taxes'!G14+'19 General Wages'!L15)*(1+'14 Space Heating Detailed Costs'!$I$5) + $C$9*(1+'21 Sales Taxes'!H14)*(1+'14 Space Heating Detailed Costs'!$I$6)</f>
        <v>3402.9018827309524</v>
      </c>
      <c r="D17" s="735">
        <f>($D$8*'19 General Wages'!J15)*(1+'21 Sales Taxes'!G14+'19 General Wages'!L15)*(1+'14 Space Heating Detailed Costs'!$I$5) + $D$9*(1+'21 Sales Taxes'!H14)*(1+'14 Space Heating Detailed Costs'!$I$6)</f>
        <v>715.2121519754628</v>
      </c>
      <c r="E17" s="735">
        <f>($E$8*'19 General Wages'!J15)*(1+'21 Sales Taxes'!G14+'19 General Wages'!L15)*(1+'14 Space Heating Detailed Costs'!$I$5) + $E$9*(1+'21 Sales Taxes'!H14)*(1+'14 Space Heating Detailed Costs'!$I$6)</f>
        <v>577.5547975634089</v>
      </c>
      <c r="F17" s="735">
        <f>($F$8*'19 General Wages'!I15)*(1+'21 Sales Taxes'!G14+'19 General Wages'!L15)*(1+'14 Space Heating Detailed Costs'!$I$5) + $F$9*(1+'21 Sales Taxes'!H14)*(1+'14 Space Heating Detailed Costs'!$I$6)</f>
        <v>995.48073934694628</v>
      </c>
      <c r="G17" s="735">
        <f>'14 Space Heating Detailed Costs'!$D$158*'19 General Wages'!T15</f>
        <v>496.63656971758422</v>
      </c>
      <c r="H17" s="735">
        <f>($H$8*'19 General Wages'!K15)*(1+'21 Sales Taxes'!G14+'19 General Wages'!L15)*(1+'14 Space Heating Detailed Costs'!$I$5) + $H$9*(1+'21 Sales Taxes'!H14)*(1+'14 Space Heating Detailed Costs'!$I$6)</f>
        <v>886.52374196752953</v>
      </c>
      <c r="I17" s="735">
        <f>'14 Space Heating Detailed Costs'!R99</f>
        <v>4633.7575258617071</v>
      </c>
      <c r="J17" s="735">
        <f>($J$8*'19 General Wages'!K15)*(1+'21 Sales Taxes'!G14+'19 General Wages'!L15)*(1+'14 Space Heating Detailed Costs'!$I$5) + $J$9*(1+'21 Sales Taxes'!H14)*(1+'14 Space Heating Detailed Costs'!$I$6)</f>
        <v>1108.5055834419099</v>
      </c>
      <c r="K17" s="735">
        <f>($K$8*'19 General Wages'!K15)*(1+'21 Sales Taxes'!G14+'19 General Wages'!L15)*(1+'14 Space Heating Detailed Costs'!$I$5) + $K$9*(1+'21 Sales Taxes'!H14)*(1+'14 Space Heating Detailed Costs'!$I$6)+'14 Space Heating Detailed Costs'!$E$136 + '14 Space Heating Detailed Costs'!$D$138</f>
        <v>15068.1449370997</v>
      </c>
      <c r="L17" s="735">
        <f>'15 Space Heating Demo &amp; Permit'!F14</f>
        <v>322.06129066534248</v>
      </c>
      <c r="M17" s="735">
        <f>'15 Space Heating Demo &amp; Permit'!F26</f>
        <v>1512.4840986853701</v>
      </c>
      <c r="N17" s="735">
        <f>'15 Space Heating Demo &amp; Permit'!F38</f>
        <v>316.04145345664449</v>
      </c>
      <c r="O17" s="735">
        <f>'15 Space Heating Demo &amp; Permit'!F50</f>
        <v>1512.4840986853701</v>
      </c>
      <c r="P17" s="735">
        <f>'15 Space Heating Demo &amp; Permit'!F62</f>
        <v>180.5951162609397</v>
      </c>
      <c r="Q17" s="735">
        <f>'15 Space Heating Demo &amp; Permit'!F74</f>
        <v>135.44633719570479</v>
      </c>
      <c r="R17" s="735">
        <f>'15 Space Heating Demo &amp; Permit'!F86</f>
        <v>677.23168597852396</v>
      </c>
      <c r="S17" s="735">
        <f>'15 Space Heating Demo &amp; Permit'!F98</f>
        <v>728.02406242691325</v>
      </c>
      <c r="T17" s="735">
        <f>'15 Space Heating Demo &amp; Permit'!F110</f>
        <v>677.23168597852396</v>
      </c>
      <c r="U17" s="735">
        <f>'15 Space Heating Demo &amp; Permit'!F122</f>
        <v>1196.4426452287255</v>
      </c>
      <c r="V17" s="735">
        <f>'15 Space Heating Demo &amp; Permit'!F134</f>
        <v>2708.9267439140958</v>
      </c>
      <c r="W17" s="735">
        <f>'14 Space Heating Detailed Costs'!$J$10</f>
        <v>950</v>
      </c>
      <c r="X17" s="735">
        <f>'14 Space Heating Detailed Costs'!$J$11</f>
        <v>1075</v>
      </c>
      <c r="Y17" s="735">
        <f>'14 Space Heating Detailed Costs'!$J$12</f>
        <v>175</v>
      </c>
      <c r="Z17" s="735">
        <f>'14 Space Heating Detailed Costs'!$J$13</f>
        <v>350</v>
      </c>
      <c r="AA17" s="735">
        <f>'14 Space Heating Detailed Costs'!$J$14</f>
        <v>875</v>
      </c>
      <c r="AB17" s="735">
        <f>'14 Space Heating Detailed Costs'!$J$15</f>
        <v>350</v>
      </c>
      <c r="AC17" s="735">
        <f>'14 Space Heating Detailed Costs'!$J$16</f>
        <v>175</v>
      </c>
      <c r="AD17" s="735">
        <f>'14 Space Heating Detailed Costs'!$J$17</f>
        <v>325</v>
      </c>
      <c r="AE17" s="735">
        <f>'14 Space Heating Detailed Costs'!$J$18</f>
        <v>375</v>
      </c>
      <c r="AF17" s="735">
        <f>'14 Space Heating Detailed Costs'!$J$19</f>
        <v>125</v>
      </c>
      <c r="AG17" s="735">
        <f>'14 Space Heating Detailed Costs'!$J$20</f>
        <v>150</v>
      </c>
      <c r="AH17" s="735">
        <f>'14 Space Heating Detailed Costs'!P65</f>
        <v>963.78266689172847</v>
      </c>
      <c r="AI17" s="735">
        <f>'14 Space Heating Detailed Costs'!S65</f>
        <v>1420.3322202604438</v>
      </c>
      <c r="AJ17" s="735">
        <f>'14 Space Heating Detailed Costs'!P65</f>
        <v>963.78266689172847</v>
      </c>
      <c r="AK17" s="735">
        <f>'14 Space Heating Detailed Costs'!T65</f>
        <v>0</v>
      </c>
      <c r="AL17" s="735">
        <f>($AL$8*'19 General Wages'!I15)*(1+'21 Sales Taxes'!G14+'19 General Wages'!L15)*(1+'14 Space Heating Detailed Costs'!$I$5) + $AL$9*(1+'21 Sales Taxes'!H14)*(1+'14 Space Heating Detailed Costs'!$I$6)</f>
        <v>3343.530842619406</v>
      </c>
      <c r="AM17" s="735">
        <f>'14 Space Heating Detailed Costs'!R65</f>
        <v>0</v>
      </c>
      <c r="AN17" s="735">
        <f>'14 Space Heating Detailed Costs'!O47</f>
        <v>1908.9205565289544</v>
      </c>
      <c r="AO17" s="735">
        <f>'14 Space Heating Detailed Costs'!O47</f>
        <v>1908.9205565289544</v>
      </c>
      <c r="AP17" s="735">
        <f>'14 Space Heating Detailed Costs'!O47</f>
        <v>1908.9205565289544</v>
      </c>
      <c r="AQ17" s="735">
        <f>'14 Space Heating Detailed Costs'!O47</f>
        <v>1908.9205565289544</v>
      </c>
      <c r="AR17" s="735">
        <f>'14 Space Heating Detailed Costs'!O47</f>
        <v>1908.9205565289544</v>
      </c>
      <c r="AS17" s="735">
        <f>'14 Space Heating Detailed Costs'!N47</f>
        <v>687.44971585767792</v>
      </c>
      <c r="AT17" s="735">
        <f>'14 Space Heating Detailed Costs'!N47</f>
        <v>687.44971585767792</v>
      </c>
      <c r="AU17" s="735">
        <f>'14 Space Heating Detailed Costs'!N47</f>
        <v>687.44971585767792</v>
      </c>
      <c r="AV17" s="735">
        <f>'14 Space Heating Detailed Costs'!N47</f>
        <v>687.44971585767792</v>
      </c>
      <c r="AW17" s="736">
        <f>'14 Space Heating Detailed Costs'!N47</f>
        <v>687.44971585767792</v>
      </c>
    </row>
    <row r="18" spans="2:49" x14ac:dyDescent="0.25">
      <c r="B18" s="834" t="s">
        <v>25</v>
      </c>
      <c r="C18" s="735">
        <f>($C$8*'19 General Wages'!K16)*(1+'21 Sales Taxes'!G15+'19 General Wages'!L16)*(1+'14 Space Heating Detailed Costs'!$I$5) + $C$9*(1+'21 Sales Taxes'!H15)*(1+'14 Space Heating Detailed Costs'!$I$6)</f>
        <v>3385.2257512842052</v>
      </c>
      <c r="D18" s="735">
        <f>($D$8*'19 General Wages'!J16)*(1+'21 Sales Taxes'!G15+'19 General Wages'!L16)*(1+'14 Space Heating Detailed Costs'!$I$5) + $D$9*(1+'21 Sales Taxes'!H15)*(1+'14 Space Heating Detailed Costs'!$I$6)</f>
        <v>748.15393520014243</v>
      </c>
      <c r="E18" s="735">
        <f>($E$8*'19 General Wages'!J16)*(1+'21 Sales Taxes'!G15+'19 General Wages'!L16)*(1+'14 Space Heating Detailed Costs'!$I$5) + $E$9*(1+'21 Sales Taxes'!H15)*(1+'14 Space Heating Detailed Costs'!$I$6)</f>
        <v>609.1569059829576</v>
      </c>
      <c r="F18" s="735">
        <f>($F$8*'19 General Wages'!I16)*(1+'21 Sales Taxes'!G15+'19 General Wages'!L16)*(1+'14 Space Heating Detailed Costs'!$I$5) + $F$9*(1+'21 Sales Taxes'!H15)*(1+'14 Space Heating Detailed Costs'!$I$6)</f>
        <v>993.59018113337447</v>
      </c>
      <c r="G18" s="735">
        <f>'14 Space Heating Detailed Costs'!$D$158*'19 General Wages'!T16</f>
        <v>525.90240440034711</v>
      </c>
      <c r="H18" s="735">
        <f>($H$8*'19 General Wages'!K16)*(1+'21 Sales Taxes'!G15+'19 General Wages'!L16)*(1+'14 Space Heating Detailed Costs'!$I$5) + $H$9*(1+'21 Sales Taxes'!H15)*(1+'14 Space Heating Detailed Costs'!$I$6)</f>
        <v>901.26472751131269</v>
      </c>
      <c r="I18" s="735">
        <f>'14 Space Heating Detailed Costs'!R94</f>
        <v>5971.3370178630248</v>
      </c>
      <c r="J18" s="735">
        <f>($J$8*'19 General Wages'!K16)*(1+'21 Sales Taxes'!G15+'19 General Wages'!L16)*(1+'14 Space Heating Detailed Costs'!$I$5) + $J$9*(1+'21 Sales Taxes'!H15)*(1+'14 Space Heating Detailed Costs'!$I$6)</f>
        <v>1122.6028775027512</v>
      </c>
      <c r="K18" s="735">
        <f>($K$8*'19 General Wages'!K16)*(1+'21 Sales Taxes'!G15+'19 General Wages'!L16)*(1+'14 Space Heating Detailed Costs'!$I$5) + $K$9*(1+'21 Sales Taxes'!H15)*(1+'14 Space Heating Detailed Costs'!$I$6)+'14 Space Heating Detailed Costs'!$E$136 + '14 Space Heating Detailed Costs'!$D$138</f>
        <v>15284.085728646745</v>
      </c>
      <c r="L18" s="735">
        <f>'15 Space Heating Demo &amp; Permit'!F15</f>
        <v>341.03974103537661</v>
      </c>
      <c r="M18" s="735">
        <f>'15 Space Heating Demo &amp; Permit'!F27</f>
        <v>1601.6118679465117</v>
      </c>
      <c r="N18" s="735">
        <f>'15 Space Heating Demo &amp; Permit'!F39</f>
        <v>334.66516643658451</v>
      </c>
      <c r="O18" s="735">
        <f>'15 Space Heating Demo &amp; Permit'!F51</f>
        <v>1601.6118679465117</v>
      </c>
      <c r="P18" s="735">
        <f>'15 Space Heating Demo &amp; Permit'!F63</f>
        <v>191.23723796376257</v>
      </c>
      <c r="Q18" s="735">
        <f>'15 Space Heating Demo &amp; Permit'!F75</f>
        <v>143.42792847282192</v>
      </c>
      <c r="R18" s="735">
        <f>'15 Space Heating Demo &amp; Permit'!F87</f>
        <v>717.1396423641097</v>
      </c>
      <c r="S18" s="735">
        <f>'15 Space Heating Demo &amp; Permit'!F99</f>
        <v>770.92511554141788</v>
      </c>
      <c r="T18" s="735">
        <f>'15 Space Heating Demo &amp; Permit'!F111</f>
        <v>717.1396423641097</v>
      </c>
      <c r="U18" s="735">
        <f>'15 Space Heating Demo &amp; Permit'!F123</f>
        <v>1266.9467015099272</v>
      </c>
      <c r="V18" s="735">
        <f>'15 Space Heating Demo &amp; Permit'!F135</f>
        <v>2868.5585694564388</v>
      </c>
      <c r="W18" s="735">
        <f>'14 Space Heating Detailed Costs'!$J$10</f>
        <v>950</v>
      </c>
      <c r="X18" s="735">
        <f>'14 Space Heating Detailed Costs'!$J$11</f>
        <v>1075</v>
      </c>
      <c r="Y18" s="735">
        <f>'14 Space Heating Detailed Costs'!$J$12</f>
        <v>175</v>
      </c>
      <c r="Z18" s="735">
        <f>'14 Space Heating Detailed Costs'!$J$13</f>
        <v>350</v>
      </c>
      <c r="AA18" s="735">
        <f>'14 Space Heating Detailed Costs'!$J$14</f>
        <v>875</v>
      </c>
      <c r="AB18" s="735">
        <f>'14 Space Heating Detailed Costs'!$J$15</f>
        <v>350</v>
      </c>
      <c r="AC18" s="735">
        <f>'14 Space Heating Detailed Costs'!$J$16</f>
        <v>175</v>
      </c>
      <c r="AD18" s="735">
        <f>'14 Space Heating Detailed Costs'!$J$17</f>
        <v>325</v>
      </c>
      <c r="AE18" s="735">
        <f>'14 Space Heating Detailed Costs'!$J$18</f>
        <v>375</v>
      </c>
      <c r="AF18" s="735">
        <f>'14 Space Heating Detailed Costs'!$J$19</f>
        <v>125</v>
      </c>
      <c r="AG18" s="735">
        <f>'14 Space Heating Detailed Costs'!$J$20</f>
        <v>150</v>
      </c>
      <c r="AH18" s="735">
        <f>'14 Space Heating Detailed Costs'!P66</f>
        <v>1235.8339980152009</v>
      </c>
      <c r="AI18" s="735">
        <f>'14 Space Heating Detailed Costs'!S66</f>
        <v>1547.0084173982668</v>
      </c>
      <c r="AJ18" s="735">
        <f>'14 Space Heating Detailed Costs'!P66</f>
        <v>1235.8339980152009</v>
      </c>
      <c r="AK18" s="735">
        <f>'14 Space Heating Detailed Costs'!T66</f>
        <v>0</v>
      </c>
      <c r="AL18" s="735">
        <f>($AL$8*'19 General Wages'!I16)*(1+'21 Sales Taxes'!G15+'19 General Wages'!L16)*(1+'14 Space Heating Detailed Costs'!$I$5) + $AL$9*(1+'21 Sales Taxes'!H15)*(1+'14 Space Heating Detailed Costs'!$I$6)</f>
        <v>3330.1558807628239</v>
      </c>
      <c r="AM18" s="735">
        <f>'14 Space Heating Detailed Costs'!R66</f>
        <v>0</v>
      </c>
      <c r="AN18" s="735">
        <f>'14 Space Heating Detailed Costs'!O48</f>
        <v>1951.1100795335037</v>
      </c>
      <c r="AO18" s="735">
        <f>'14 Space Heating Detailed Costs'!O48</f>
        <v>1951.1100795335037</v>
      </c>
      <c r="AP18" s="735">
        <f>'14 Space Heating Detailed Costs'!O48</f>
        <v>1951.1100795335037</v>
      </c>
      <c r="AQ18" s="735">
        <f>'14 Space Heating Detailed Costs'!O48</f>
        <v>1951.1100795335037</v>
      </c>
      <c r="AR18" s="735">
        <f>'14 Space Heating Detailed Costs'!O48</f>
        <v>1951.1100795335037</v>
      </c>
      <c r="AS18" s="735">
        <f>'14 Space Heating Detailed Costs'!N48</f>
        <v>688.29238536088792</v>
      </c>
      <c r="AT18" s="735">
        <f>'14 Space Heating Detailed Costs'!N48</f>
        <v>688.29238536088792</v>
      </c>
      <c r="AU18" s="735">
        <f>'14 Space Heating Detailed Costs'!N48</f>
        <v>688.29238536088792</v>
      </c>
      <c r="AV18" s="735">
        <f>'14 Space Heating Detailed Costs'!N48</f>
        <v>688.29238536088792</v>
      </c>
      <c r="AW18" s="736">
        <f>'14 Space Heating Detailed Costs'!N48</f>
        <v>688.29238536088792</v>
      </c>
    </row>
    <row r="19" spans="2:49" x14ac:dyDescent="0.25">
      <c r="B19" s="834" t="s">
        <v>23</v>
      </c>
      <c r="C19" s="735">
        <f>($C$8*'19 General Wages'!K17)*(1+'21 Sales Taxes'!G16+'19 General Wages'!L17)*(1+'14 Space Heating Detailed Costs'!$I$5) + $C$9*(1+'21 Sales Taxes'!H16)*(1+'14 Space Heating Detailed Costs'!$I$6)</f>
        <v>3589.2866407878564</v>
      </c>
      <c r="D19" s="735">
        <f>($D$8*'19 General Wages'!J17)*(1+'21 Sales Taxes'!G16+'19 General Wages'!L17)*(1+'14 Space Heating Detailed Costs'!$I$5) + $D$9*(1+'21 Sales Taxes'!H16)*(1+'14 Space Heating Detailed Costs'!$I$6)</f>
        <v>951.72030150317642</v>
      </c>
      <c r="E19" s="735">
        <f>($E$8*'19 General Wages'!J17)*(1+'21 Sales Taxes'!G16+'19 General Wages'!L17)*(1+'14 Space Heating Detailed Costs'!$I$5) + $E$9*(1+'21 Sales Taxes'!H16)*(1+'14 Space Heating Detailed Costs'!$I$6)</f>
        <v>794.87760728166916</v>
      </c>
      <c r="F19" s="735">
        <f>($F$8*'19 General Wages'!I17)*(1+'21 Sales Taxes'!G16+'19 General Wages'!L17)*(1+'14 Space Heating Detailed Costs'!$I$5) + $F$9*(1+'21 Sales Taxes'!H16)*(1+'14 Space Heating Detailed Costs'!$I$6)</f>
        <v>1043.4190369436983</v>
      </c>
      <c r="G19" s="735">
        <f>'14 Space Heating Detailed Costs'!$D$158*'19 General Wages'!T17</f>
        <v>646.5026405717839</v>
      </c>
      <c r="H19" s="735">
        <f>($H$8*'19 General Wages'!K17)*(1+'21 Sales Taxes'!G16+'19 General Wages'!L17)*(1+'14 Space Heating Detailed Costs'!$I$5) + $H$9*(1+'21 Sales Taxes'!H16)*(1+'14 Space Heating Detailed Costs'!$I$6)</f>
        <v>1028.211420529738</v>
      </c>
      <c r="I19" s="735">
        <f>'14 Space Heating Detailed Costs'!R96</f>
        <v>5971.3370178630248</v>
      </c>
      <c r="J19" s="735">
        <f>($J$8*'19 General Wages'!K17)*(1+'21 Sales Taxes'!G16+'19 General Wages'!L17)*(1+'14 Space Heating Detailed Costs'!$I$5) + $J$9*(1+'21 Sales Taxes'!H16)*(1+'14 Space Heating Detailed Costs'!$I$6)</f>
        <v>1264.8038403075616</v>
      </c>
      <c r="K19" s="735">
        <f>($K$8*'19 General Wages'!K17)*(1+'21 Sales Taxes'!G16+'19 General Wages'!L17)*(1+'14 Space Heating Detailed Costs'!$I$5) + $K$9*(1+'21 Sales Taxes'!H16)*(1+'14 Space Heating Detailed Costs'!$I$6)+'14 Space Heating Detailed Costs'!$E$136 + '14 Space Heating Detailed Costs'!$D$138</f>
        <v>17174.788289488639</v>
      </c>
      <c r="L19" s="735">
        <f>'15 Space Heating Demo &amp; Permit'!F16</f>
        <v>419.24716691624775</v>
      </c>
      <c r="M19" s="735">
        <f>'15 Space Heating Demo &amp; Permit'!F28</f>
        <v>1968.8944053777054</v>
      </c>
      <c r="N19" s="735">
        <f>'15 Space Heating Demo &amp; Permit'!F40</f>
        <v>411.41077127295335</v>
      </c>
      <c r="O19" s="735">
        <f>'15 Space Heating Demo &amp; Permit'!F52</f>
        <v>1968.8944053777054</v>
      </c>
      <c r="P19" s="735">
        <f>'15 Space Heating Demo &amp; Permit'!F64</f>
        <v>235.09186929883049</v>
      </c>
      <c r="Q19" s="735">
        <f>'15 Space Heating Demo &amp; Permit'!F76</f>
        <v>176.31890197412287</v>
      </c>
      <c r="R19" s="735">
        <f>'15 Space Heating Demo &amp; Permit'!F88</f>
        <v>881.59450987061439</v>
      </c>
      <c r="S19" s="735">
        <f>'15 Space Heating Demo &amp; Permit'!F100</f>
        <v>947.71409811091053</v>
      </c>
      <c r="T19" s="735">
        <f>'15 Space Heating Demo &amp; Permit'!F112</f>
        <v>881.59450987061439</v>
      </c>
      <c r="U19" s="735">
        <f>'15 Space Heating Demo &amp; Permit'!F124</f>
        <v>1557.4836341047521</v>
      </c>
      <c r="V19" s="735">
        <f>'15 Space Heating Demo &amp; Permit'!F136</f>
        <v>3526.3780394824576</v>
      </c>
      <c r="W19" s="735">
        <f>'14 Space Heating Detailed Costs'!$J$10</f>
        <v>950</v>
      </c>
      <c r="X19" s="735">
        <f>'14 Space Heating Detailed Costs'!$J$11</f>
        <v>1075</v>
      </c>
      <c r="Y19" s="735">
        <f>'14 Space Heating Detailed Costs'!$J$12</f>
        <v>175</v>
      </c>
      <c r="Z19" s="735">
        <f>'14 Space Heating Detailed Costs'!$J$13</f>
        <v>350</v>
      </c>
      <c r="AA19" s="735">
        <f>'14 Space Heating Detailed Costs'!$J$14</f>
        <v>875</v>
      </c>
      <c r="AB19" s="735">
        <f>'14 Space Heating Detailed Costs'!$J$15</f>
        <v>350</v>
      </c>
      <c r="AC19" s="735">
        <f>'14 Space Heating Detailed Costs'!$J$16</f>
        <v>175</v>
      </c>
      <c r="AD19" s="735">
        <f>'14 Space Heating Detailed Costs'!$J$17</f>
        <v>325</v>
      </c>
      <c r="AE19" s="735">
        <f>'14 Space Heating Detailed Costs'!$J$18</f>
        <v>375</v>
      </c>
      <c r="AF19" s="735">
        <f>'14 Space Heating Detailed Costs'!$J$19</f>
        <v>125</v>
      </c>
      <c r="AG19" s="735">
        <f>'14 Space Heating Detailed Costs'!$J$20</f>
        <v>150</v>
      </c>
      <c r="AH19" s="735">
        <f>'14 Space Heating Detailed Costs'!P67</f>
        <v>1239.7837763377968</v>
      </c>
      <c r="AI19" s="735">
        <f>'14 Space Heating Detailed Costs'!S67</f>
        <v>1778.5622023485546</v>
      </c>
      <c r="AJ19" s="735">
        <f>'14 Space Heating Detailed Costs'!P67</f>
        <v>1239.7837763377968</v>
      </c>
      <c r="AK19" s="735">
        <f>'14 Space Heating Detailed Costs'!T67</f>
        <v>0</v>
      </c>
      <c r="AL19" s="735">
        <f>($AL$8*'19 General Wages'!I17)*(1+'21 Sales Taxes'!G16+'19 General Wages'!L17)*(1+'14 Space Heating Detailed Costs'!$I$5) + $AL$9*(1+'21 Sales Taxes'!H16)*(1+'14 Space Heating Detailed Costs'!$I$6)</f>
        <v>3480.2752479241344</v>
      </c>
      <c r="AM19" s="735">
        <f>'14 Space Heating Detailed Costs'!R67</f>
        <v>0</v>
      </c>
      <c r="AN19" s="735">
        <f>'14 Space Heating Detailed Costs'!O49</f>
        <v>2264.309258711382</v>
      </c>
      <c r="AO19" s="735">
        <f>'14 Space Heating Detailed Costs'!O49</f>
        <v>2264.309258711382</v>
      </c>
      <c r="AP19" s="735">
        <f>'14 Space Heating Detailed Costs'!O49</f>
        <v>2264.309258711382</v>
      </c>
      <c r="AQ19" s="735">
        <f>'14 Space Heating Detailed Costs'!O49</f>
        <v>2264.309258711382</v>
      </c>
      <c r="AR19" s="735">
        <f>'14 Space Heating Detailed Costs'!O49</f>
        <v>2264.309258711382</v>
      </c>
      <c r="AS19" s="735">
        <f>'14 Space Heating Detailed Costs'!N49</f>
        <v>746.3497075775457</v>
      </c>
      <c r="AT19" s="735">
        <f>'14 Space Heating Detailed Costs'!N49</f>
        <v>746.3497075775457</v>
      </c>
      <c r="AU19" s="735">
        <f>'14 Space Heating Detailed Costs'!N49</f>
        <v>746.3497075775457</v>
      </c>
      <c r="AV19" s="735">
        <f>'14 Space Heating Detailed Costs'!N49</f>
        <v>746.3497075775457</v>
      </c>
      <c r="AW19" s="736">
        <f>'14 Space Heating Detailed Costs'!N49</f>
        <v>746.3497075775457</v>
      </c>
    </row>
    <row r="20" spans="2:49" ht="15.75" thickBot="1" x14ac:dyDescent="0.3">
      <c r="B20" s="835" t="s">
        <v>151</v>
      </c>
      <c r="C20" s="737">
        <f>($C$8*'19 General Wages'!K18)*(1+'21 Sales Taxes'!G17+'19 General Wages'!L18)*(1+'14 Space Heating Detailed Costs'!$I$5) + $C$9*(1+'21 Sales Taxes'!H17)*(1+'14 Space Heating Detailed Costs'!$I$6)</f>
        <v>3414.8124822927994</v>
      </c>
      <c r="D20" s="737">
        <f>($D$8*'19 General Wages'!J18)*(1+'21 Sales Taxes'!G17+'19 General Wages'!L18)*(1+'14 Space Heating Detailed Costs'!$I$5) + $D$9*(1+'21 Sales Taxes'!H17)*(1+'14 Space Heating Detailed Costs'!$I$6)</f>
        <v>802.61007345286771</v>
      </c>
      <c r="E20" s="737">
        <f>($E$8*'19 General Wages'!J18)*(1+'21 Sales Taxes'!G17+'19 General Wages'!L18)*(1+'14 Space Heating Detailed Costs'!$I$5) + $E$9*(1+'21 Sales Taxes'!H17)*(1+'14 Space Heating Detailed Costs'!$I$6)</f>
        <v>659.25371175151349</v>
      </c>
      <c r="F20" s="737">
        <f>($F$8*'19 General Wages'!I18)*(1+'21 Sales Taxes'!G17+'19 General Wages'!L18)*(1+'14 Space Heating Detailed Costs'!$I$5) + $F$9*(1+'21 Sales Taxes'!H17)*(1+'14 Space Heating Detailed Costs'!$I$6)</f>
        <v>1007.5195383644932</v>
      </c>
      <c r="G20" s="737">
        <f>'14 Space Heating Detailed Costs'!$D$158*'19 General Wages'!T18</f>
        <v>550</v>
      </c>
      <c r="H20" s="737">
        <f>($H$8*'19 General Wages'!K18)*(1+'21 Sales Taxes'!G17+'19 General Wages'!L18)*(1+'14 Space Heating Detailed Costs'!$I$5) + $H$9*(1+'21 Sales Taxes'!H17)*(1+'14 Space Heating Detailed Costs'!$I$6)</f>
        <v>925.78687205419089</v>
      </c>
      <c r="I20" s="737">
        <f>'14 Space Heating Detailed Costs'!R100</f>
        <v>5971.3370178630248</v>
      </c>
      <c r="J20" s="737">
        <f>($J$8*'19 General Wages'!K18)*(1+'21 Sales Taxes'!G17+'19 General Wages'!L18)*(1+'14 Space Heating Detailed Costs'!$I$5) + $J$9*(1+'21 Sales Taxes'!H17)*(1+'14 Space Heating Detailed Costs'!$I$6)</f>
        <v>1149.4977726976472</v>
      </c>
      <c r="K20" s="737">
        <f>($K$8*'19 General Wages'!K18)*(1+'21 Sales Taxes'!G17+'19 General Wages'!L18)*(1+'14 Space Heating Detailed Costs'!$I$5) + $K$9*(1+'21 Sales Taxes'!H17)*(1+'14 Space Heating Detailed Costs'!$I$6)+'14 Space Heating Detailed Costs'!$E$136 + '14 Space Heating Detailed Costs'!$D$138</f>
        <v>15648.453462343305</v>
      </c>
      <c r="L20" s="737">
        <f>'15 Space Heating Demo &amp; Permit'!F17</f>
        <v>356.66666666666669</v>
      </c>
      <c r="M20" s="737">
        <f>'15 Space Heating Demo &amp; Permit'!F29</f>
        <v>1675</v>
      </c>
      <c r="N20" s="737">
        <f>'15 Space Heating Demo &amp; Permit'!F41</f>
        <v>350</v>
      </c>
      <c r="O20" s="737">
        <f>'15 Space Heating Demo &amp; Permit'!F53</f>
        <v>1675</v>
      </c>
      <c r="P20" s="737">
        <f>'15 Space Heating Demo &amp; Permit'!F65</f>
        <v>200</v>
      </c>
      <c r="Q20" s="737">
        <f>'15 Space Heating Demo &amp; Permit'!F77</f>
        <v>150</v>
      </c>
      <c r="R20" s="737">
        <f>'15 Space Heating Demo &amp; Permit'!F89</f>
        <v>750</v>
      </c>
      <c r="S20" s="737">
        <f>'15 Space Heating Demo &amp; Permit'!F101</f>
        <v>924.90419123301729</v>
      </c>
      <c r="T20" s="737">
        <f>'15 Space Heating Demo &amp; Permit'!F113</f>
        <v>750</v>
      </c>
      <c r="U20" s="737">
        <f>'15 Space Heating Demo &amp; Permit'!F125</f>
        <v>1325</v>
      </c>
      <c r="V20" s="737">
        <f>'15 Space Heating Demo &amp; Permit'!F137</f>
        <v>3000</v>
      </c>
      <c r="W20" s="737">
        <f>'14 Space Heating Detailed Costs'!$J$10</f>
        <v>950</v>
      </c>
      <c r="X20" s="737">
        <f>'14 Space Heating Detailed Costs'!$J$11</f>
        <v>1075</v>
      </c>
      <c r="Y20" s="737">
        <f>'14 Space Heating Detailed Costs'!$J$12</f>
        <v>175</v>
      </c>
      <c r="Z20" s="737">
        <f>'14 Space Heating Detailed Costs'!$J$13</f>
        <v>350</v>
      </c>
      <c r="AA20" s="737">
        <f>'14 Space Heating Detailed Costs'!$J$14</f>
        <v>875</v>
      </c>
      <c r="AB20" s="737">
        <f>'14 Space Heating Detailed Costs'!$J$15</f>
        <v>350</v>
      </c>
      <c r="AC20" s="737">
        <f>'14 Space Heating Detailed Costs'!$J$16</f>
        <v>175</v>
      </c>
      <c r="AD20" s="737">
        <f>'14 Space Heating Detailed Costs'!$J$17</f>
        <v>325</v>
      </c>
      <c r="AE20" s="737">
        <f>'14 Space Heating Detailed Costs'!$J$18</f>
        <v>375</v>
      </c>
      <c r="AF20" s="737">
        <f>'14 Space Heating Detailed Costs'!$J$19</f>
        <v>125</v>
      </c>
      <c r="AG20" s="737">
        <f>'14 Space Heating Detailed Costs'!$J$20</f>
        <v>150</v>
      </c>
      <c r="AH20" s="737">
        <f>'14 Space Heating Detailed Costs'!P68</f>
        <v>1289.747740615855</v>
      </c>
      <c r="AI20" s="737">
        <f>'14 Space Heating Detailed Costs'!S68</f>
        <v>1539.6339209978187</v>
      </c>
      <c r="AJ20" s="737">
        <f>'14 Space Heating Detailed Costs'!P68</f>
        <v>1289.747740615855</v>
      </c>
      <c r="AK20" s="737">
        <f>'14 Space Heating Detailed Costs'!T68</f>
        <v>1939.9671152874239</v>
      </c>
      <c r="AL20" s="737">
        <f>($AL$8*'19 General Wages'!I18)*(1+'21 Sales Taxes'!G17+'19 General Wages'!L18)*(1+'14 Space Heating Detailed Costs'!$I$5) + $AL$9*(1+'21 Sales Taxes'!H17)*(1+'14 Space Heating Detailed Costs'!$I$6)</f>
        <v>3369.800514081548</v>
      </c>
      <c r="AM20" s="737">
        <f>'14 Space Heating Detailed Costs'!R68</f>
        <v>1072.7779375184052</v>
      </c>
      <c r="AN20" s="737">
        <f>'14 Space Heating Detailed Costs'!O50</f>
        <v>2012.993690615998</v>
      </c>
      <c r="AO20" s="737">
        <f>'14 Space Heating Detailed Costs'!O50</f>
        <v>2012.993690615998</v>
      </c>
      <c r="AP20" s="737">
        <f>'14 Space Heating Detailed Costs'!O50</f>
        <v>2012.993690615998</v>
      </c>
      <c r="AQ20" s="737">
        <f>'14 Space Heating Detailed Costs'!O50</f>
        <v>2012.993690615998</v>
      </c>
      <c r="AR20" s="737">
        <f>'14 Space Heating Detailed Costs'!O50</f>
        <v>2012.993690615998</v>
      </c>
      <c r="AS20" s="737">
        <f>'14 Space Heating Detailed Costs'!N50</f>
        <v>698.10544167661078</v>
      </c>
      <c r="AT20" s="737">
        <f>'14 Space Heating Detailed Costs'!N50</f>
        <v>698.10544167661078</v>
      </c>
      <c r="AU20" s="737">
        <f>'14 Space Heating Detailed Costs'!N50</f>
        <v>698.10544167661078</v>
      </c>
      <c r="AV20" s="737">
        <f>'14 Space Heating Detailed Costs'!N50</f>
        <v>698.10544167661078</v>
      </c>
      <c r="AW20" s="738">
        <f>'14 Space Heating Detailed Costs'!N50</f>
        <v>698.10544167661078</v>
      </c>
    </row>
    <row r="21" spans="2:49" ht="15.75" x14ac:dyDescent="0.25">
      <c r="Q21" s="65"/>
      <c r="R21" s="65"/>
      <c r="S21" s="65"/>
      <c r="T21" s="65"/>
      <c r="U21" s="65"/>
      <c r="V21" s="65"/>
      <c r="W21" s="65"/>
      <c r="X21" s="65"/>
      <c r="Y21" s="65"/>
      <c r="Z21" s="65"/>
      <c r="AA21" s="66"/>
      <c r="AB21" s="66"/>
      <c r="AC21" s="66"/>
      <c r="AD21" s="66"/>
      <c r="AE21" s="66"/>
      <c r="AF21" s="66"/>
      <c r="AG21" s="66"/>
      <c r="AH21" s="66"/>
      <c r="AI21" s="66"/>
      <c r="AJ21" s="66"/>
    </row>
    <row r="22" spans="2:49" ht="20.25" x14ac:dyDescent="0.3">
      <c r="B22" s="1184" t="s">
        <v>1156</v>
      </c>
      <c r="C22" s="1184"/>
      <c r="D22" s="1184"/>
      <c r="E22" s="1184"/>
      <c r="F22" s="1184"/>
      <c r="P22" s="234"/>
      <c r="Q22" s="65"/>
      <c r="R22" s="65"/>
      <c r="S22" s="65"/>
      <c r="T22" s="65"/>
      <c r="U22" s="65"/>
      <c r="V22" s="65"/>
      <c r="W22" s="65"/>
      <c r="X22" s="65"/>
      <c r="Y22" s="65"/>
      <c r="Z22" s="65"/>
      <c r="AA22" s="66"/>
      <c r="AB22" s="66"/>
      <c r="AC22" s="66"/>
      <c r="AD22" s="66"/>
      <c r="AE22" s="66"/>
      <c r="AF22" s="66"/>
      <c r="AG22" s="66"/>
      <c r="AH22" s="66"/>
      <c r="AI22" s="66"/>
      <c r="AJ22" s="66"/>
    </row>
    <row r="23" spans="2:49" ht="18" customHeight="1" x14ac:dyDescent="0.3">
      <c r="B23" s="1186" t="s">
        <v>1571</v>
      </c>
      <c r="C23" s="1186"/>
      <c r="D23" s="1186"/>
      <c r="E23" s="1186"/>
      <c r="F23" s="948" t="s">
        <v>278</v>
      </c>
      <c r="P23" s="234"/>
      <c r="Q23" s="19"/>
    </row>
    <row r="24" spans="2:49" ht="18" customHeight="1" x14ac:dyDescent="0.3">
      <c r="B24" s="1185" t="s">
        <v>1449</v>
      </c>
      <c r="C24" s="1185"/>
      <c r="D24" s="1185"/>
      <c r="E24" s="1185"/>
      <c r="F24" s="949" t="s">
        <v>1440</v>
      </c>
      <c r="P24" s="234"/>
      <c r="Q24" s="19"/>
    </row>
    <row r="25" spans="2:49" ht="18" customHeight="1" x14ac:dyDescent="0.25">
      <c r="K25" s="19"/>
      <c r="P25" s="234"/>
      <c r="Q25" s="19"/>
    </row>
    <row r="26" spans="2:49" ht="18" customHeight="1" x14ac:dyDescent="0.3">
      <c r="B26" s="1183" t="s">
        <v>1157</v>
      </c>
      <c r="C26" s="723" t="s">
        <v>1446</v>
      </c>
      <c r="K26" s="19"/>
      <c r="Q26" s="41"/>
    </row>
    <row r="27" spans="2:49" ht="18" customHeight="1" x14ac:dyDescent="0.3">
      <c r="B27" s="1183"/>
      <c r="C27" s="723" t="s">
        <v>1447</v>
      </c>
      <c r="R27" s="41"/>
    </row>
    <row r="28" spans="2:49" ht="18" customHeight="1" x14ac:dyDescent="0.25">
      <c r="E28" s="19"/>
    </row>
    <row r="29" spans="2:49" ht="18" customHeight="1" x14ac:dyDescent="0.25">
      <c r="E29" s="19"/>
    </row>
    <row r="30" spans="2:49" ht="15.75" customHeight="1" x14ac:dyDescent="0.25">
      <c r="C30"/>
    </row>
    <row r="31" spans="2:49" ht="15" customHeight="1" x14ac:dyDescent="0.25"/>
    <row r="32" spans="2:4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143" s="20" customFormat="1" ht="14.25" x14ac:dyDescent="0.2"/>
  </sheetData>
  <mergeCells count="14">
    <mergeCell ref="B26:B27"/>
    <mergeCell ref="B22:F22"/>
    <mergeCell ref="B24:E24"/>
    <mergeCell ref="B23:E23"/>
    <mergeCell ref="AN6:AR6"/>
    <mergeCell ref="AS6:AW6"/>
    <mergeCell ref="L6:V6"/>
    <mergeCell ref="A1:C2"/>
    <mergeCell ref="B6:B7"/>
    <mergeCell ref="J1:J3"/>
    <mergeCell ref="C6:K6"/>
    <mergeCell ref="W6:AG6"/>
    <mergeCell ref="B5:AW5"/>
    <mergeCell ref="AH6:AM6"/>
  </mergeCells>
  <pageMargins left="0.7" right="0.7" top="0.75" bottom="0.75" header="0.3" footer="0.3"/>
  <pageSetup orientation="portrait" r:id="rId1"/>
  <ignoredErrors>
    <ignoredError sqref="AI11:AI20"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49FA3-94FB-4238-A005-53773BBF6435}">
  <sheetPr codeName="Sheet28">
    <tabColor rgb="FFF46F3A"/>
  </sheetPr>
  <dimension ref="A1:W177"/>
  <sheetViews>
    <sheetView zoomScale="70" zoomScaleNormal="70" workbookViewId="0">
      <selection sqref="A1:B2"/>
    </sheetView>
  </sheetViews>
  <sheetFormatPr defaultColWidth="9.140625" defaultRowHeight="15" x14ac:dyDescent="0.25"/>
  <cols>
    <col min="1" max="1" width="8" style="5" customWidth="1"/>
    <col min="2" max="2" width="43.28515625" style="5" customWidth="1"/>
    <col min="3" max="3" width="37.7109375" style="5" customWidth="1"/>
    <col min="4" max="4" width="39" style="5" customWidth="1"/>
    <col min="5" max="5" width="29.7109375" style="5" customWidth="1"/>
    <col min="6" max="6" width="41.42578125" style="5" customWidth="1"/>
    <col min="7" max="7" width="32.42578125" style="5" customWidth="1"/>
    <col min="8" max="8" width="19.7109375" style="5" customWidth="1"/>
    <col min="9" max="9" width="22.5703125" style="5" customWidth="1"/>
    <col min="10" max="10" width="10.140625" style="5" customWidth="1"/>
    <col min="11" max="11" width="39.5703125" style="5" customWidth="1"/>
    <col min="12" max="12" width="21.42578125" style="5" customWidth="1"/>
    <col min="13" max="13" width="26.42578125" style="5" customWidth="1"/>
    <col min="14" max="14" width="23.42578125" style="5" customWidth="1"/>
    <col min="15" max="15" width="38.28515625" style="5" customWidth="1"/>
    <col min="16" max="16" width="31.85546875" style="5" customWidth="1"/>
    <col min="17" max="17" width="23.28515625" style="5" customWidth="1"/>
    <col min="18" max="19" width="25.140625" style="5" customWidth="1"/>
    <col min="20" max="20" width="32.42578125" style="5" customWidth="1"/>
    <col min="21" max="21" width="18.28515625" style="5" customWidth="1"/>
    <col min="22" max="16384" width="9.140625" style="5"/>
  </cols>
  <sheetData>
    <row r="1" spans="1:23" ht="18.75" customHeight="1" x14ac:dyDescent="0.25">
      <c r="A1" s="1203" t="s">
        <v>291</v>
      </c>
      <c r="B1" s="1203"/>
      <c r="C1" s="5" t="s">
        <v>1622</v>
      </c>
      <c r="L1" s="1172" t="s">
        <v>516</v>
      </c>
      <c r="M1" s="57"/>
    </row>
    <row r="2" spans="1:23" ht="15" customHeight="1" x14ac:dyDescent="0.25">
      <c r="A2" s="1203"/>
      <c r="B2" s="1203"/>
      <c r="L2" s="1173"/>
      <c r="M2" s="57"/>
    </row>
    <row r="3" spans="1:23" ht="34.5" customHeight="1" thickBot="1" x14ac:dyDescent="0.3">
      <c r="A3" s="359"/>
      <c r="B3" s="359"/>
      <c r="L3" s="1174"/>
      <c r="M3" s="57"/>
    </row>
    <row r="4" spans="1:23" ht="31.15" customHeight="1" x14ac:dyDescent="0.25">
      <c r="B4" s="1213" t="s">
        <v>233</v>
      </c>
      <c r="C4" s="1214"/>
      <c r="D4" s="1214"/>
      <c r="E4" s="1215"/>
      <c r="G4" s="1189" t="s">
        <v>138</v>
      </c>
      <c r="H4" s="1190"/>
      <c r="I4" s="1191"/>
      <c r="J4" s="776" t="s">
        <v>235</v>
      </c>
      <c r="L4" s="65"/>
      <c r="M4" s="65"/>
      <c r="N4" s="65"/>
      <c r="O4" s="65"/>
      <c r="P4" s="65"/>
      <c r="Q4" s="65"/>
      <c r="R4" s="65"/>
      <c r="S4" s="65"/>
      <c r="T4" s="65"/>
      <c r="U4" s="65"/>
      <c r="V4" s="65"/>
      <c r="W4" s="65"/>
    </row>
    <row r="5" spans="1:23" ht="20.100000000000001" customHeight="1" x14ac:dyDescent="0.25">
      <c r="B5" s="71" t="s">
        <v>237</v>
      </c>
      <c r="C5" s="70" t="s">
        <v>180</v>
      </c>
      <c r="D5" s="421" t="s">
        <v>162</v>
      </c>
      <c r="E5" s="422" t="s">
        <v>124</v>
      </c>
      <c r="G5" s="643" t="s">
        <v>6</v>
      </c>
      <c r="H5" s="158"/>
      <c r="I5" s="777">
        <f>'25 Markup Notes'!C14</f>
        <v>0.25</v>
      </c>
      <c r="S5" s="65"/>
      <c r="T5" s="65"/>
      <c r="U5" s="65"/>
      <c r="V5" s="65"/>
      <c r="W5" s="65"/>
    </row>
    <row r="6" spans="1:23" ht="20.100000000000001" customHeight="1" thickBot="1" x14ac:dyDescent="0.3">
      <c r="B6" s="423" t="s">
        <v>104</v>
      </c>
      <c r="C6" s="126" t="s">
        <v>183</v>
      </c>
      <c r="D6" s="126" t="s">
        <v>191</v>
      </c>
      <c r="E6" s="597" t="s">
        <v>450</v>
      </c>
      <c r="F6" s="468"/>
      <c r="G6" s="645" t="s">
        <v>7</v>
      </c>
      <c r="H6" s="778"/>
      <c r="I6" s="779">
        <f>'25 Markup Notes'!C15</f>
        <v>0.35</v>
      </c>
    </row>
    <row r="7" spans="1:23" ht="20.100000000000001" customHeight="1" thickBot="1" x14ac:dyDescent="0.3">
      <c r="B7" s="423" t="s">
        <v>122</v>
      </c>
      <c r="C7" s="126" t="s">
        <v>184</v>
      </c>
      <c r="D7" s="126" t="s">
        <v>192</v>
      </c>
      <c r="E7" s="597" t="s">
        <v>448</v>
      </c>
      <c r="F7" s="468"/>
    </row>
    <row r="8" spans="1:23" ht="20.100000000000001" customHeight="1" x14ac:dyDescent="0.25">
      <c r="B8" s="423" t="s">
        <v>139</v>
      </c>
      <c r="C8" s="126" t="s">
        <v>185</v>
      </c>
      <c r="D8" s="126" t="s">
        <v>193</v>
      </c>
      <c r="E8" s="597" t="s">
        <v>449</v>
      </c>
      <c r="G8" s="1189" t="s">
        <v>240</v>
      </c>
      <c r="H8" s="1190"/>
      <c r="I8" s="1190"/>
      <c r="J8" s="1191"/>
      <c r="K8" s="30" t="s">
        <v>384</v>
      </c>
    </row>
    <row r="9" spans="1:23" ht="20.100000000000001" customHeight="1" x14ac:dyDescent="0.3">
      <c r="B9" s="423" t="s">
        <v>376</v>
      </c>
      <c r="C9" s="126" t="s">
        <v>186</v>
      </c>
      <c r="D9" s="126" t="s">
        <v>194</v>
      </c>
      <c r="E9" s="597" t="s">
        <v>447</v>
      </c>
      <c r="G9" s="770" t="s">
        <v>150</v>
      </c>
      <c r="H9" s="771" t="s">
        <v>241</v>
      </c>
      <c r="I9" s="419" t="s">
        <v>238</v>
      </c>
      <c r="J9" s="772" t="s">
        <v>239</v>
      </c>
      <c r="N9" s="270"/>
      <c r="O9" s="270"/>
      <c r="P9" s="268"/>
    </row>
    <row r="10" spans="1:23" ht="20.100000000000001" customHeight="1" x14ac:dyDescent="0.25">
      <c r="B10" s="423" t="s">
        <v>635</v>
      </c>
      <c r="C10" s="126" t="s">
        <v>187</v>
      </c>
      <c r="D10" s="126" t="s">
        <v>195</v>
      </c>
      <c r="E10" s="597" t="s">
        <v>1081</v>
      </c>
      <c r="G10" s="423" t="s">
        <v>242</v>
      </c>
      <c r="H10" s="126" t="s">
        <v>243</v>
      </c>
      <c r="I10" s="126" t="s">
        <v>418</v>
      </c>
      <c r="J10" s="773">
        <f>AVERAGE(400,1500)</f>
        <v>950</v>
      </c>
      <c r="K10" s="472" t="s">
        <v>419</v>
      </c>
      <c r="N10" s="63"/>
      <c r="O10" s="63"/>
    </row>
    <row r="11" spans="1:23" ht="20.100000000000001" customHeight="1" x14ac:dyDescent="0.25">
      <c r="B11" s="423" t="s">
        <v>123</v>
      </c>
      <c r="C11" s="126" t="s">
        <v>188</v>
      </c>
      <c r="D11" s="126" t="s">
        <v>196</v>
      </c>
      <c r="E11" s="597" t="s">
        <v>644</v>
      </c>
      <c r="G11" s="423" t="s">
        <v>244</v>
      </c>
      <c r="H11" s="126" t="s">
        <v>243</v>
      </c>
      <c r="I11" s="126" t="s">
        <v>422</v>
      </c>
      <c r="J11" s="773">
        <f>AVERAGE(300,1850)</f>
        <v>1075</v>
      </c>
      <c r="K11" s="472" t="s">
        <v>421</v>
      </c>
    </row>
    <row r="12" spans="1:23" ht="20.100000000000001" customHeight="1" x14ac:dyDescent="0.25">
      <c r="B12" s="423" t="s">
        <v>125</v>
      </c>
      <c r="C12" s="126" t="s">
        <v>189</v>
      </c>
      <c r="D12" s="126" t="s">
        <v>197</v>
      </c>
      <c r="E12" s="597"/>
      <c r="G12" s="423" t="s">
        <v>242</v>
      </c>
      <c r="H12" s="126" t="s">
        <v>245</v>
      </c>
      <c r="I12" s="126" t="s">
        <v>399</v>
      </c>
      <c r="J12" s="773">
        <f>AVERAGE(50,300)</f>
        <v>175</v>
      </c>
      <c r="K12" s="472" t="s">
        <v>929</v>
      </c>
      <c r="N12" s="158"/>
      <c r="O12" s="158"/>
    </row>
    <row r="13" spans="1:23" ht="20.100000000000001" customHeight="1" x14ac:dyDescent="0.25">
      <c r="B13" s="423" t="s">
        <v>388</v>
      </c>
      <c r="C13" s="126" t="s">
        <v>178</v>
      </c>
      <c r="D13" s="126" t="s">
        <v>181</v>
      </c>
      <c r="E13" s="597"/>
      <c r="G13" s="423" t="s">
        <v>244</v>
      </c>
      <c r="H13" s="126" t="s">
        <v>245</v>
      </c>
      <c r="I13" s="126" t="s">
        <v>420</v>
      </c>
      <c r="J13" s="773">
        <f>AVERAGE(200,500)</f>
        <v>350</v>
      </c>
      <c r="K13" s="472" t="s">
        <v>929</v>
      </c>
      <c r="N13" s="158"/>
      <c r="O13" s="158"/>
    </row>
    <row r="14" spans="1:23" ht="20.100000000000001" customHeight="1" x14ac:dyDescent="0.25">
      <c r="B14" s="423" t="s">
        <v>126</v>
      </c>
      <c r="C14" s="126" t="s">
        <v>179</v>
      </c>
      <c r="D14" s="126" t="s">
        <v>182</v>
      </c>
      <c r="E14" s="597"/>
      <c r="G14" s="423" t="s">
        <v>246</v>
      </c>
      <c r="H14" s="126" t="s">
        <v>243</v>
      </c>
      <c r="I14" s="126" t="s">
        <v>422</v>
      </c>
      <c r="J14" s="773">
        <f>AVERAGE(250,1500)</f>
        <v>875</v>
      </c>
      <c r="K14" s="472" t="s">
        <v>142</v>
      </c>
      <c r="N14" s="158"/>
      <c r="O14" s="158"/>
    </row>
    <row r="15" spans="1:23" ht="36" customHeight="1" x14ac:dyDescent="0.25">
      <c r="B15" s="423" t="s">
        <v>1079</v>
      </c>
      <c r="C15" s="126" t="s">
        <v>230</v>
      </c>
      <c r="D15" s="126" t="s">
        <v>231</v>
      </c>
      <c r="E15" s="597"/>
      <c r="G15" s="423" t="s">
        <v>246</v>
      </c>
      <c r="H15" s="774" t="s">
        <v>247</v>
      </c>
      <c r="I15" s="126" t="s">
        <v>423</v>
      </c>
      <c r="J15" s="773">
        <f>AVERAGE(200,500)</f>
        <v>350</v>
      </c>
      <c r="K15" s="472" t="s">
        <v>402</v>
      </c>
      <c r="N15" s="158"/>
      <c r="O15" s="158"/>
    </row>
    <row r="16" spans="1:23" ht="33.75" customHeight="1" x14ac:dyDescent="0.25">
      <c r="B16" s="423" t="s">
        <v>641</v>
      </c>
      <c r="C16" s="126" t="s">
        <v>190</v>
      </c>
      <c r="D16" s="126" t="s">
        <v>198</v>
      </c>
      <c r="E16" s="597"/>
      <c r="G16" s="423" t="s">
        <v>246</v>
      </c>
      <c r="H16" s="774" t="s">
        <v>248</v>
      </c>
      <c r="I16" s="126" t="s">
        <v>399</v>
      </c>
      <c r="J16" s="773">
        <f>AVERAGE(50,300)</f>
        <v>175</v>
      </c>
      <c r="K16" s="472" t="s">
        <v>930</v>
      </c>
      <c r="N16" s="158"/>
      <c r="O16" s="269"/>
    </row>
    <row r="17" spans="1:17" ht="33.75" customHeight="1" x14ac:dyDescent="0.25">
      <c r="B17" s="468" t="s">
        <v>975</v>
      </c>
      <c r="C17" s="598"/>
      <c r="D17" s="126"/>
      <c r="E17" s="597"/>
      <c r="G17" s="423" t="s">
        <v>246</v>
      </c>
      <c r="H17" s="774" t="s">
        <v>249</v>
      </c>
      <c r="I17" s="126" t="s">
        <v>424</v>
      </c>
      <c r="J17" s="773">
        <f>AVERAGE(250,400)</f>
        <v>325</v>
      </c>
      <c r="K17" s="472" t="s">
        <v>374</v>
      </c>
      <c r="N17" s="158"/>
      <c r="O17" s="269"/>
    </row>
    <row r="18" spans="1:17" ht="30" customHeight="1" x14ac:dyDescent="0.25">
      <c r="B18" s="423" t="s">
        <v>1080</v>
      </c>
      <c r="C18" s="126"/>
      <c r="D18" s="126"/>
      <c r="E18" s="597"/>
      <c r="G18" s="423" t="s">
        <v>246</v>
      </c>
      <c r="H18" s="774" t="s">
        <v>250</v>
      </c>
      <c r="I18" s="126" t="s">
        <v>425</v>
      </c>
      <c r="J18" s="773">
        <f>AVERAGE(100,650)</f>
        <v>375</v>
      </c>
      <c r="K18" s="472" t="s">
        <v>426</v>
      </c>
    </row>
    <row r="19" spans="1:17" ht="20.100000000000001" customHeight="1" x14ac:dyDescent="0.25">
      <c r="B19" s="224"/>
      <c r="C19" s="126"/>
      <c r="D19" s="126"/>
      <c r="E19" s="597"/>
      <c r="G19" s="423" t="s">
        <v>86</v>
      </c>
      <c r="H19" s="126" t="s">
        <v>243</v>
      </c>
      <c r="I19" s="126" t="s">
        <v>407</v>
      </c>
      <c r="J19" s="773">
        <f>AVERAGE(50,200)</f>
        <v>125</v>
      </c>
      <c r="K19" s="472" t="s">
        <v>408</v>
      </c>
    </row>
    <row r="20" spans="1:17" ht="20.100000000000001" customHeight="1" thickBot="1" x14ac:dyDescent="0.3">
      <c r="B20" s="599"/>
      <c r="C20" s="600"/>
      <c r="D20" s="600"/>
      <c r="E20" s="601"/>
      <c r="G20" s="424" t="s">
        <v>252</v>
      </c>
      <c r="H20" s="712" t="s">
        <v>253</v>
      </c>
      <c r="I20" s="712" t="s">
        <v>427</v>
      </c>
      <c r="J20" s="775">
        <f>AVERAGE(50,250)</f>
        <v>150</v>
      </c>
      <c r="K20" s="472" t="s">
        <v>428</v>
      </c>
    </row>
    <row r="22" spans="1:17" ht="15.75" x14ac:dyDescent="0.25">
      <c r="B22" s="254" t="s">
        <v>946</v>
      </c>
      <c r="E22" s="20" t="s">
        <v>970</v>
      </c>
      <c r="F22" s="519" t="s">
        <v>971</v>
      </c>
      <c r="G22" s="159"/>
      <c r="H22" s="159"/>
      <c r="I22" s="282"/>
      <c r="J22" s="472"/>
    </row>
    <row r="23" spans="1:17" x14ac:dyDescent="0.25">
      <c r="B23" s="5" t="s">
        <v>1305</v>
      </c>
      <c r="E23" s="5" t="s">
        <v>1267</v>
      </c>
      <c r="G23" s="159"/>
      <c r="H23" s="159"/>
      <c r="I23" s="282"/>
      <c r="J23" s="472"/>
    </row>
    <row r="24" spans="1:17" x14ac:dyDescent="0.25">
      <c r="B24" s="5" t="s">
        <v>1306</v>
      </c>
      <c r="F24" s="159"/>
      <c r="G24" s="159"/>
      <c r="H24" s="159"/>
      <c r="I24" s="282"/>
      <c r="J24" s="472"/>
    </row>
    <row r="25" spans="1:17" x14ac:dyDescent="0.25">
      <c r="F25" s="159"/>
      <c r="G25" s="159"/>
      <c r="H25" s="159"/>
      <c r="I25" s="282"/>
      <c r="J25" s="472"/>
    </row>
    <row r="26" spans="1:17" ht="15.75" x14ac:dyDescent="0.25">
      <c r="F26" s="408" t="s">
        <v>1433</v>
      </c>
      <c r="M26" s="184"/>
    </row>
    <row r="27" spans="1:17" ht="20.25" x14ac:dyDescent="0.3">
      <c r="A27" s="24"/>
      <c r="B27" s="1193" t="s">
        <v>228</v>
      </c>
      <c r="C27" s="1193"/>
      <c r="D27" s="1193"/>
      <c r="E27" s="1193"/>
      <c r="F27" s="1193"/>
      <c r="G27" s="1193"/>
      <c r="H27" s="1193"/>
      <c r="I27" s="1193"/>
      <c r="J27" s="1193"/>
      <c r="K27" s="1193"/>
      <c r="L27" s="1193"/>
    </row>
    <row r="28" spans="1:17" x14ac:dyDescent="0.25">
      <c r="D28" s="24"/>
      <c r="E28" s="280"/>
      <c r="H28" s="50"/>
      <c r="I28" s="50"/>
    </row>
    <row r="30" spans="1:17" x14ac:dyDescent="0.25">
      <c r="H30" s="24"/>
      <c r="I30" s="24"/>
    </row>
    <row r="31" spans="1:17" ht="15.75" thickBot="1" x14ac:dyDescent="0.3">
      <c r="B31" s="1192" t="s">
        <v>346</v>
      </c>
      <c r="C31" s="1192"/>
      <c r="D31" s="1192"/>
      <c r="E31" s="1192"/>
      <c r="F31" s="1192"/>
      <c r="G31" s="1192"/>
      <c r="H31" s="1192"/>
      <c r="I31" s="1192"/>
      <c r="J31" s="1192"/>
      <c r="K31" s="1192"/>
      <c r="L31" s="1192"/>
      <c r="M31" s="50" t="s">
        <v>292</v>
      </c>
    </row>
    <row r="32" spans="1:17" ht="20.25" x14ac:dyDescent="0.25">
      <c r="B32" s="24" t="s">
        <v>298</v>
      </c>
      <c r="C32" s="24" t="s">
        <v>127</v>
      </c>
      <c r="D32" s="24" t="s">
        <v>239</v>
      </c>
      <c r="E32" s="24" t="s">
        <v>299</v>
      </c>
      <c r="F32" s="24" t="s">
        <v>870</v>
      </c>
      <c r="G32" s="24"/>
      <c r="H32" s="24" t="s">
        <v>236</v>
      </c>
      <c r="L32" s="160"/>
      <c r="M32" s="1189" t="s">
        <v>1434</v>
      </c>
      <c r="N32" s="1190"/>
      <c r="O32" s="1190"/>
      <c r="P32" s="1191"/>
      <c r="Q32" s="20" t="s">
        <v>145</v>
      </c>
    </row>
    <row r="33" spans="1:21" x14ac:dyDescent="0.25">
      <c r="B33" s="608" t="s">
        <v>302</v>
      </c>
      <c r="C33" s="159" t="s">
        <v>303</v>
      </c>
      <c r="D33" s="159">
        <v>0.59</v>
      </c>
      <c r="E33" s="307">
        <f>D33*D37+D35*D37+D34+D36</f>
        <v>62.4</v>
      </c>
      <c r="F33" s="308">
        <f>P34</f>
        <v>10.897125943043891</v>
      </c>
      <c r="G33" s="163"/>
      <c r="H33" s="161" t="s">
        <v>301</v>
      </c>
      <c r="M33" s="189" t="s">
        <v>294</v>
      </c>
      <c r="N33" s="190" t="s">
        <v>295</v>
      </c>
      <c r="O33" s="191" t="s">
        <v>871</v>
      </c>
      <c r="P33" s="192" t="s">
        <v>296</v>
      </c>
      <c r="Q33" s="473" t="s">
        <v>293</v>
      </c>
    </row>
    <row r="34" spans="1:21" ht="15" customHeight="1" thickBot="1" x14ac:dyDescent="0.3">
      <c r="B34" s="608" t="s">
        <v>1514</v>
      </c>
      <c r="C34" s="159" t="s">
        <v>1263</v>
      </c>
      <c r="D34" s="159">
        <v>12</v>
      </c>
      <c r="E34" s="159"/>
      <c r="F34" s="609"/>
      <c r="G34" s="164"/>
      <c r="H34" s="161" t="s">
        <v>304</v>
      </c>
      <c r="M34" s="570">
        <f>737-125</f>
        <v>612</v>
      </c>
      <c r="N34" s="571">
        <f>(M34/(1+'19 General Wages'!J19))/(1+'19 General Wages'!J19)</f>
        <v>568.97905645804462</v>
      </c>
      <c r="O34" s="572">
        <f>'19 General Wages'!J18*(1+'19 General Wages'!L18+'21 Sales Taxes'!G17)*(1+'14 Space Heating Detailed Costs'!I5)</f>
        <v>52.213680876217524</v>
      </c>
      <c r="P34" s="573">
        <f>N34/O34</f>
        <v>10.897125943043891</v>
      </c>
      <c r="Q34" s="309" t="s">
        <v>297</v>
      </c>
    </row>
    <row r="35" spans="1:21" x14ac:dyDescent="0.25">
      <c r="B35" s="159" t="s">
        <v>1515</v>
      </c>
      <c r="C35" s="159" t="s">
        <v>1264</v>
      </c>
      <c r="D35" s="159">
        <v>0.75</v>
      </c>
      <c r="E35" s="159"/>
      <c r="F35" s="164"/>
      <c r="G35" s="164"/>
      <c r="H35" s="310" t="s">
        <v>305</v>
      </c>
      <c r="M35" s="1212" t="s">
        <v>1195</v>
      </c>
      <c r="N35" s="1212"/>
      <c r="O35" s="1212"/>
      <c r="P35" s="1212"/>
    </row>
    <row r="36" spans="1:21" x14ac:dyDescent="0.25">
      <c r="B36" s="159" t="s">
        <v>1516</v>
      </c>
      <c r="C36" s="159" t="s">
        <v>1261</v>
      </c>
      <c r="D36" s="159">
        <v>3.5</v>
      </c>
      <c r="E36" s="159"/>
      <c r="F36" s="164"/>
      <c r="G36" s="952"/>
      <c r="H36" s="169" t="s">
        <v>1620</v>
      </c>
      <c r="M36" s="1093"/>
      <c r="N36" s="1093"/>
      <c r="O36" s="1093"/>
      <c r="P36" s="1093"/>
    </row>
    <row r="37" spans="1:21" x14ac:dyDescent="0.25">
      <c r="B37" s="159" t="s">
        <v>307</v>
      </c>
      <c r="C37" s="159" t="s">
        <v>1265</v>
      </c>
      <c r="D37" s="159">
        <v>35</v>
      </c>
      <c r="E37" s="158"/>
      <c r="F37" s="164"/>
      <c r="G37" s="164"/>
      <c r="H37" s="161" t="s">
        <v>306</v>
      </c>
      <c r="M37" s="1093"/>
      <c r="N37" s="1093"/>
      <c r="O37" s="1093"/>
      <c r="P37" s="1093"/>
    </row>
    <row r="38" spans="1:21" ht="15.75" thickBot="1" x14ac:dyDescent="0.3">
      <c r="A38" s="1"/>
      <c r="B38" s="159" t="s">
        <v>1430</v>
      </c>
      <c r="C38" s="610">
        <f>P34</f>
        <v>10.897125943043891</v>
      </c>
      <c r="D38" s="610"/>
      <c r="E38" s="158"/>
      <c r="F38" s="158"/>
      <c r="G38" s="158"/>
      <c r="H38" s="30" t="s">
        <v>368</v>
      </c>
      <c r="M38" s="1093"/>
      <c r="N38" s="1093"/>
      <c r="O38" s="1093"/>
      <c r="P38" s="1093"/>
      <c r="R38" s="409"/>
      <c r="S38" s="409"/>
      <c r="T38" s="409"/>
      <c r="U38" s="409"/>
    </row>
    <row r="39" spans="1:21" ht="18.75" x14ac:dyDescent="0.3">
      <c r="B39" s="158"/>
      <c r="C39" s="158"/>
      <c r="D39" s="158"/>
      <c r="E39" s="158"/>
      <c r="F39" s="158"/>
      <c r="G39" s="158"/>
      <c r="H39" s="161" t="s">
        <v>518</v>
      </c>
      <c r="M39" s="1194" t="s">
        <v>1435</v>
      </c>
      <c r="N39" s="1195"/>
      <c r="O39" s="1196"/>
      <c r="R39" s="409"/>
      <c r="S39" s="409"/>
      <c r="T39" s="409"/>
      <c r="U39" s="409"/>
    </row>
    <row r="40" spans="1:21" x14ac:dyDescent="0.25">
      <c r="B40" s="1192" t="s">
        <v>347</v>
      </c>
      <c r="C40" s="1192"/>
      <c r="D40" s="1192"/>
      <c r="E40" s="1192"/>
      <c r="F40" s="1192"/>
      <c r="G40" s="1192"/>
      <c r="H40" s="1192"/>
      <c r="I40" s="1192"/>
      <c r="J40" s="1192"/>
      <c r="K40" s="1192"/>
      <c r="L40" s="1192"/>
      <c r="M40" s="943" t="s">
        <v>519</v>
      </c>
      <c r="N40" s="944" t="s">
        <v>445</v>
      </c>
      <c r="O40" s="945" t="s">
        <v>446</v>
      </c>
      <c r="R40" s="409"/>
      <c r="S40" s="409"/>
      <c r="T40" s="409"/>
      <c r="U40" s="409"/>
    </row>
    <row r="41" spans="1:21" x14ac:dyDescent="0.25">
      <c r="B41" s="24" t="s">
        <v>298</v>
      </c>
      <c r="C41" s="24" t="s">
        <v>127</v>
      </c>
      <c r="D41" s="24" t="s">
        <v>239</v>
      </c>
      <c r="E41" s="24" t="s">
        <v>299</v>
      </c>
      <c r="F41" s="24" t="s">
        <v>870</v>
      </c>
      <c r="G41" s="24"/>
      <c r="H41" s="63" t="s">
        <v>236</v>
      </c>
      <c r="M41" s="222" t="s">
        <v>32</v>
      </c>
      <c r="N41" s="574">
        <f>($F$59*'19 General Wages'!K9)*(1+'21 Sales Taxes'!G8+'19 General Wages'!L9)*(1+'14 Space Heating Detailed Costs'!$I$5) + $E$59*(1+'21 Sales Taxes'!H8)*(1+'14 Space Heating Detailed Costs'!$I$6)</f>
        <v>730.22109392346465</v>
      </c>
      <c r="O41" s="575">
        <f>($F$76*'19 General Wages'!K9)*(1+'21 Sales Taxes'!G8+'19 General Wages'!L9)*(1+'14 Space Heating Detailed Costs'!$I$5) + $E$76*(1+'21 Sales Taxes'!H8)*(1+'14 Space Heating Detailed Costs'!$I$6)</f>
        <v>2226.8620257483481</v>
      </c>
      <c r="T41" s="409"/>
      <c r="U41" s="409"/>
    </row>
    <row r="42" spans="1:21" x14ac:dyDescent="0.25">
      <c r="B42" s="159" t="s">
        <v>1517</v>
      </c>
      <c r="C42" s="159" t="s">
        <v>1260</v>
      </c>
      <c r="D42" s="159">
        <v>2.25</v>
      </c>
      <c r="E42" s="307">
        <f>D42*D46+D43*D46+D44+D45</f>
        <v>125.4</v>
      </c>
      <c r="F42" s="308">
        <f>D47</f>
        <v>11.897125943043891</v>
      </c>
      <c r="G42" s="163"/>
      <c r="H42" s="310" t="s">
        <v>308</v>
      </c>
      <c r="M42" s="222" t="s">
        <v>60</v>
      </c>
      <c r="N42" s="574">
        <f>($F$59*'19 General Wages'!K10)*(1+'21 Sales Taxes'!G9+'19 General Wages'!L10)*(1+'14 Space Heating Detailed Costs'!$I$5) + $E$59*(1+'21 Sales Taxes'!H9)*(1+'14 Space Heating Detailed Costs'!$I$6)</f>
        <v>713.41615904991556</v>
      </c>
      <c r="O42" s="575">
        <f>($F$76*'19 General Wages'!K10)*(1+'21 Sales Taxes'!G9+'19 General Wages'!L10)*(1+'14 Space Heating Detailed Costs'!$I$5) + $E$76*(1+'21 Sales Taxes'!H9)*(1+'14 Space Heating Detailed Costs'!$I$6)</f>
        <v>2141.4361524893252</v>
      </c>
      <c r="T42" s="409"/>
      <c r="U42" s="409"/>
    </row>
    <row r="43" spans="1:21" x14ac:dyDescent="0.25">
      <c r="B43" s="159" t="s">
        <v>302</v>
      </c>
      <c r="C43" s="159" t="s">
        <v>303</v>
      </c>
      <c r="D43" s="159">
        <v>0.59</v>
      </c>
      <c r="E43" s="159"/>
      <c r="F43" s="609"/>
      <c r="G43" s="165"/>
      <c r="H43" s="161" t="s">
        <v>301</v>
      </c>
      <c r="M43" s="222" t="s">
        <v>41</v>
      </c>
      <c r="N43" s="574">
        <f>($F$59*'19 General Wages'!K11)*(1+'21 Sales Taxes'!G10+'19 General Wages'!L11)*(1+'14 Space Heating Detailed Costs'!$I$5) + $E$59*(1+'21 Sales Taxes'!H10)*(1+'14 Space Heating Detailed Costs'!$I$6)</f>
        <v>705.68887633801546</v>
      </c>
      <c r="O43" s="575">
        <f>($F$76*'19 General Wages'!K11)*(1+'21 Sales Taxes'!G10+'19 General Wages'!L11)*(1+'14 Space Heating Detailed Costs'!$I$5) + $E$76*(1+'21 Sales Taxes'!H10)*(1+'14 Space Heating Detailed Costs'!$I$6)</f>
        <v>2063.9561167115035</v>
      </c>
      <c r="T43" s="409"/>
      <c r="U43" s="409"/>
    </row>
    <row r="44" spans="1:21" x14ac:dyDescent="0.25">
      <c r="B44" s="159" t="s">
        <v>1516</v>
      </c>
      <c r="C44" s="159" t="s">
        <v>1261</v>
      </c>
      <c r="D44" s="159">
        <v>3.5</v>
      </c>
      <c r="E44" s="159"/>
      <c r="F44" s="165"/>
      <c r="G44" s="165"/>
      <c r="H44" s="161" t="s">
        <v>1496</v>
      </c>
      <c r="M44" s="222" t="s">
        <v>44</v>
      </c>
      <c r="N44" s="574">
        <f>($F$59*'19 General Wages'!K12)*(1+'21 Sales Taxes'!G11+'19 General Wages'!L12)*(1+'14 Space Heating Detailed Costs'!$I$5) + $E$59*(1+'21 Sales Taxes'!H11)*(1+'14 Space Heating Detailed Costs'!$I$6)</f>
        <v>713.73466005193018</v>
      </c>
      <c r="O44" s="575">
        <f>($F$76*'19 General Wages'!K12)*(1+'21 Sales Taxes'!G11+'19 General Wages'!L12)*(1+'14 Space Heating Detailed Costs'!$I$5) + $E$76*(1+'21 Sales Taxes'!H11)*(1+'14 Space Heating Detailed Costs'!$I$6)</f>
        <v>2098.950288390598</v>
      </c>
      <c r="T44" s="409"/>
      <c r="U44" s="409"/>
    </row>
    <row r="45" spans="1:21" x14ac:dyDescent="0.25">
      <c r="B45" s="159" t="s">
        <v>1518</v>
      </c>
      <c r="C45" s="159" t="s">
        <v>1262</v>
      </c>
      <c r="D45" s="159">
        <v>22.5</v>
      </c>
      <c r="E45" s="159"/>
      <c r="F45" s="165"/>
      <c r="G45" s="165"/>
      <c r="H45" s="161" t="s">
        <v>1497</v>
      </c>
      <c r="M45" s="222" t="s">
        <v>34</v>
      </c>
      <c r="N45" s="574">
        <f>($F$59*'19 General Wages'!K13)*(1+'21 Sales Taxes'!G12+'19 General Wages'!L13)*(1+'14 Space Heating Detailed Costs'!$I$5) + $E$59*(1+'21 Sales Taxes'!H12)*(1+'14 Space Heating Detailed Costs'!$I$6)</f>
        <v>664.9027145889869</v>
      </c>
      <c r="O45" s="575">
        <f>($F$76*'19 General Wages'!K13)*(1+'21 Sales Taxes'!G12+'19 General Wages'!L13)*(1+'14 Space Heating Detailed Costs'!$I$5) + $E$76*(1+'21 Sales Taxes'!H12)*(1+'14 Space Heating Detailed Costs'!$I$6)</f>
        <v>1838.7352657598301</v>
      </c>
      <c r="T45" s="409"/>
      <c r="U45" s="409"/>
    </row>
    <row r="46" spans="1:21" x14ac:dyDescent="0.25">
      <c r="B46" s="159" t="s">
        <v>307</v>
      </c>
      <c r="C46" s="159" t="s">
        <v>1265</v>
      </c>
      <c r="D46" s="159">
        <v>35</v>
      </c>
      <c r="E46" s="159"/>
      <c r="F46" s="165"/>
      <c r="G46" s="165"/>
      <c r="H46" s="161" t="s">
        <v>306</v>
      </c>
      <c r="M46" s="222" t="s">
        <v>20</v>
      </c>
      <c r="N46" s="574">
        <f>($F$59*'19 General Wages'!K14)*(1+'21 Sales Taxes'!G13+'19 General Wages'!L14)*(1+'14 Space Heating Detailed Costs'!$I$5) + $E$59*(1+'21 Sales Taxes'!H13)*(1+'14 Space Heating Detailed Costs'!$I$6)</f>
        <v>658.93703167678586</v>
      </c>
      <c r="O46" s="575">
        <f>($F$76*'19 General Wages'!K14)*(1+'21 Sales Taxes'!G13+'19 General Wages'!L14)*(1+'14 Space Heating Detailed Costs'!$I$5) + $E$76*(1+'21 Sales Taxes'!H13)*(1+'14 Space Heating Detailed Costs'!$I$6)</f>
        <v>1776.9788288387601</v>
      </c>
      <c r="T46" s="409"/>
      <c r="U46" s="409"/>
    </row>
    <row r="47" spans="1:21" x14ac:dyDescent="0.25">
      <c r="B47" s="159" t="s">
        <v>1430</v>
      </c>
      <c r="C47" s="610">
        <f>P34+1</f>
        <v>11.897125943043891</v>
      </c>
      <c r="D47" s="610">
        <f>C47</f>
        <v>11.897125943043891</v>
      </c>
      <c r="E47" s="164"/>
      <c r="F47" s="165"/>
      <c r="G47" s="165"/>
      <c r="H47" s="161" t="s">
        <v>518</v>
      </c>
      <c r="M47" s="222" t="s">
        <v>27</v>
      </c>
      <c r="N47" s="574">
        <f>($F$59*'19 General Wages'!K15)*(1+'21 Sales Taxes'!G14+'19 General Wages'!L15)*(1+'14 Space Heating Detailed Costs'!$I$5) + $E$59*(1+'21 Sales Taxes'!H14)*(1+'14 Space Heating Detailed Costs'!$I$6)</f>
        <v>687.44971585767792</v>
      </c>
      <c r="O47" s="575">
        <f>($F$76*'19 General Wages'!K15)*(1+'21 Sales Taxes'!G14+'19 General Wages'!L15)*(1+'14 Space Heating Detailed Costs'!$I$5) + $E$76*(1+'21 Sales Taxes'!H14)*(1+'14 Space Heating Detailed Costs'!$I$6)</f>
        <v>1908.9205565289544</v>
      </c>
      <c r="T47" s="409"/>
      <c r="U47" s="409"/>
    </row>
    <row r="48" spans="1:21" x14ac:dyDescent="0.25">
      <c r="B48" s="158"/>
      <c r="C48" s="158"/>
      <c r="D48" s="158"/>
      <c r="E48" s="158"/>
      <c r="F48" s="166"/>
      <c r="G48" s="166"/>
      <c r="M48" s="222" t="s">
        <v>25</v>
      </c>
      <c r="N48" s="574">
        <f>($F$59*'19 General Wages'!K16)*(1+'21 Sales Taxes'!G15+'19 General Wages'!L16)*(1+'14 Space Heating Detailed Costs'!$I$5) + $E$59*(1+'21 Sales Taxes'!H15)*(1+'14 Space Heating Detailed Costs'!$I$6)</f>
        <v>688.29238536088792</v>
      </c>
      <c r="O48" s="575">
        <f>($F$76*'19 General Wages'!K16)*(1+'21 Sales Taxes'!G15+'19 General Wages'!L16)*(1+'14 Space Heating Detailed Costs'!$I$5) + $E$76*(1+'21 Sales Taxes'!H15)*(1+'14 Space Heating Detailed Costs'!$I$6)</f>
        <v>1951.1100795335037</v>
      </c>
      <c r="T48" s="409"/>
      <c r="U48" s="409"/>
    </row>
    <row r="49" spans="2:21" x14ac:dyDescent="0.25">
      <c r="B49" s="1192" t="s">
        <v>348</v>
      </c>
      <c r="C49" s="1192"/>
      <c r="D49" s="1192"/>
      <c r="E49" s="1192"/>
      <c r="F49" s="1192"/>
      <c r="G49" s="1192"/>
      <c r="H49" s="1192"/>
      <c r="I49" s="1192"/>
      <c r="J49" s="1192"/>
      <c r="K49" s="1192"/>
      <c r="L49" s="1192"/>
      <c r="M49" s="222" t="s">
        <v>23</v>
      </c>
      <c r="N49" s="574">
        <f>($F$59*'19 General Wages'!K17)*(1+'21 Sales Taxes'!G16+'19 General Wages'!L17)*(1+'14 Space Heating Detailed Costs'!$I$5) + $E$59*(1+'21 Sales Taxes'!H16)*(1+'14 Space Heating Detailed Costs'!$I$6)</f>
        <v>746.3497075775457</v>
      </c>
      <c r="O49" s="575">
        <f>($F$76*'19 General Wages'!K17)*(1+'21 Sales Taxes'!G16+'19 General Wages'!L17)*(1+'14 Space Heating Detailed Costs'!$I$5) + $E$76*(1+'21 Sales Taxes'!H16)*(1+'14 Space Heating Detailed Costs'!$I$6)</f>
        <v>2264.309258711382</v>
      </c>
      <c r="T49" s="409"/>
      <c r="U49" s="409"/>
    </row>
    <row r="50" spans="2:21" ht="15.75" thickBot="1" x14ac:dyDescent="0.3">
      <c r="B50" s="24" t="s">
        <v>298</v>
      </c>
      <c r="C50" s="24" t="s">
        <v>127</v>
      </c>
      <c r="D50" s="24" t="s">
        <v>239</v>
      </c>
      <c r="E50" s="24" t="s">
        <v>299</v>
      </c>
      <c r="F50" s="24" t="s">
        <v>870</v>
      </c>
      <c r="G50" s="24"/>
      <c r="H50" s="63" t="s">
        <v>236</v>
      </c>
      <c r="M50" s="953" t="s">
        <v>151</v>
      </c>
      <c r="N50" s="659">
        <f>($F$59*'19 General Wages'!K18)*(1+'21 Sales Taxes'!G17+'19 General Wages'!L18)*(1+'14 Space Heating Detailed Costs'!$I$5) + $E$59*(1+'21 Sales Taxes'!H17)*(1+'14 Space Heating Detailed Costs'!$I$6)</f>
        <v>698.10544167661078</v>
      </c>
      <c r="O50" s="660">
        <f>($F$76*'19 General Wages'!K18)*(1+'21 Sales Taxes'!G17+'19 General Wages'!L18)*(1+'14 Space Heating Detailed Costs'!$I$5) + $E$76*(1+'21 Sales Taxes'!H17)*(1+'14 Space Heating Detailed Costs'!$I$6)</f>
        <v>2012.993690615998</v>
      </c>
      <c r="T50" s="409"/>
      <c r="U50" s="409"/>
    </row>
    <row r="51" spans="2:21" ht="30" x14ac:dyDescent="0.25">
      <c r="B51" s="488" t="s">
        <v>141</v>
      </c>
      <c r="C51" s="158"/>
      <c r="D51" s="159"/>
      <c r="E51" s="311">
        <f>D55</f>
        <v>1725</v>
      </c>
      <c r="F51" s="307">
        <f>D54</f>
        <v>20</v>
      </c>
      <c r="G51" s="62"/>
      <c r="H51" s="30" t="s">
        <v>550</v>
      </c>
      <c r="N51" s="41"/>
    </row>
    <row r="52" spans="2:21" x14ac:dyDescent="0.25">
      <c r="B52" s="158"/>
      <c r="C52" s="158"/>
      <c r="D52" s="159"/>
      <c r="E52" s="159"/>
      <c r="F52" s="159"/>
      <c r="G52" s="42"/>
      <c r="H52" s="30" t="s">
        <v>551</v>
      </c>
    </row>
    <row r="53" spans="2:21" x14ac:dyDescent="0.25">
      <c r="B53" s="611" t="s">
        <v>1363</v>
      </c>
      <c r="C53" s="158" t="s">
        <v>1259</v>
      </c>
      <c r="D53" s="612">
        <f>(120+225)/2</f>
        <v>172.5</v>
      </c>
      <c r="E53" s="159"/>
      <c r="F53" s="159"/>
      <c r="G53" s="42"/>
      <c r="H53" s="167" t="s">
        <v>234</v>
      </c>
    </row>
    <row r="54" spans="2:21" x14ac:dyDescent="0.25">
      <c r="B54" s="158" t="s">
        <v>1432</v>
      </c>
      <c r="C54" s="158">
        <v>20</v>
      </c>
      <c r="D54" s="612">
        <f>C54</f>
        <v>20</v>
      </c>
      <c r="E54" s="159"/>
      <c r="F54" s="159"/>
      <c r="G54" s="42"/>
      <c r="H54" s="167" t="s">
        <v>129</v>
      </c>
    </row>
    <row r="55" spans="2:21" x14ac:dyDescent="0.25">
      <c r="B55" s="158" t="s">
        <v>1623</v>
      </c>
      <c r="C55" s="158" t="s">
        <v>309</v>
      </c>
      <c r="D55" s="590">
        <f>10*D53</f>
        <v>1725</v>
      </c>
      <c r="E55" s="158"/>
      <c r="F55" s="158"/>
      <c r="H55" s="167" t="s">
        <v>232</v>
      </c>
    </row>
    <row r="56" spans="2:21" ht="16.5" thickBot="1" x14ac:dyDescent="0.3">
      <c r="C56" s="168"/>
      <c r="D56" s="168"/>
      <c r="E56" s="168"/>
      <c r="F56" s="168"/>
      <c r="I56" s="24"/>
      <c r="O56" s="30" t="s">
        <v>1437</v>
      </c>
      <c r="P56" s="240"/>
      <c r="Q56" s="240"/>
    </row>
    <row r="57" spans="2:21" ht="26.25" customHeight="1" x14ac:dyDescent="0.25">
      <c r="B57" s="1192" t="s">
        <v>369</v>
      </c>
      <c r="C57" s="1192"/>
      <c r="D57" s="1192"/>
      <c r="E57" s="1192"/>
      <c r="F57" s="1192"/>
      <c r="G57" s="1192"/>
      <c r="H57" s="1192"/>
      <c r="I57" s="1192"/>
      <c r="J57" s="1192"/>
      <c r="K57" s="1192"/>
      <c r="L57" s="1192"/>
      <c r="O57" s="1197" t="s">
        <v>1436</v>
      </c>
      <c r="P57" s="1198"/>
      <c r="Q57" s="1198"/>
      <c r="R57" s="1198"/>
      <c r="S57" s="1198"/>
      <c r="T57" s="1199"/>
    </row>
    <row r="58" spans="2:21" ht="48" customHeight="1" x14ac:dyDescent="0.25">
      <c r="B58" s="24" t="s">
        <v>298</v>
      </c>
      <c r="C58" s="24" t="s">
        <v>127</v>
      </c>
      <c r="D58" s="24" t="s">
        <v>239</v>
      </c>
      <c r="E58" s="24" t="s">
        <v>299</v>
      </c>
      <c r="F58" s="24" t="s">
        <v>870</v>
      </c>
      <c r="G58" s="24"/>
      <c r="N58" s="280"/>
      <c r="O58" s="940" t="s">
        <v>519</v>
      </c>
      <c r="P58" s="941" t="s">
        <v>972</v>
      </c>
      <c r="Q58" s="941"/>
      <c r="R58" s="941" t="s">
        <v>449</v>
      </c>
      <c r="S58" s="941" t="s">
        <v>448</v>
      </c>
      <c r="T58" s="942" t="s">
        <v>447</v>
      </c>
    </row>
    <row r="59" spans="2:21" x14ac:dyDescent="0.25">
      <c r="B59" s="24" t="s">
        <v>1083</v>
      </c>
      <c r="C59" s="613">
        <f>SUM(C60:C68)</f>
        <v>314</v>
      </c>
      <c r="D59" s="614">
        <f>(C59/(1+'19 General Wages'!J19)/(1+'19 General Wages'!J19))</f>
        <v>291.92716295396411</v>
      </c>
      <c r="E59" s="313">
        <f>D59</f>
        <v>291.92716295396411</v>
      </c>
      <c r="F59" s="314">
        <f>D73</f>
        <v>6</v>
      </c>
      <c r="G59" s="20"/>
      <c r="H59" s="30" t="s">
        <v>931</v>
      </c>
      <c r="O59" s="222" t="s">
        <v>32</v>
      </c>
      <c r="P59" s="618">
        <f>'23 Venting Notes'!B10*'14 Space Heating Detailed Costs'!O41+ (1-'23 Venting Notes'!B10)*'14 Space Heating Detailed Costs'!N41</f>
        <v>1721.5829247646905</v>
      </c>
      <c r="Q59" s="618"/>
      <c r="R59" s="618">
        <f>'23 Venting Notes'!D10*'14 Space Heating Detailed Costs'!O41+ (1-'23 Venting Notes'!D10)*'14 Space Heating Detailed Costs'!N41</f>
        <v>1089.4149175614366</v>
      </c>
      <c r="S59" s="618">
        <f>'23 Venting Notes'!E10*'14 Space Heating Detailed Costs'!O41+ (1-'23 Venting Notes'!E10)*'14 Space Heating Detailed Costs'!N41</f>
        <v>1747.9369275643855</v>
      </c>
      <c r="T59" s="644">
        <f>'23 Venting Notes'!E10*'14 Space Heating Detailed Costs'!O41+ (1-'23 Venting Notes'!F10)*'14 Space Heating Detailed Costs'!N41</f>
        <v>1974.3054666806595</v>
      </c>
    </row>
    <row r="60" spans="2:21" x14ac:dyDescent="0.25">
      <c r="B60" s="158" t="s">
        <v>1519</v>
      </c>
      <c r="C60" s="607">
        <v>30</v>
      </c>
      <c r="D60" s="159"/>
      <c r="E60" s="159"/>
      <c r="F60" s="158"/>
      <c r="H60" s="193" t="s">
        <v>364</v>
      </c>
      <c r="O60" s="222" t="s">
        <v>60</v>
      </c>
      <c r="P60" s="618">
        <f>'23 Venting Notes'!B11*'14 Space Heating Detailed Costs'!O42+ (1-'23 Venting Notes'!B11)*'14 Space Heating Detailed Costs'!N42</f>
        <v>1613.4199697319646</v>
      </c>
      <c r="Q60" s="618"/>
      <c r="R60" s="618">
        <f>'23 Venting Notes'!D11*'14 Space Heating Detailed Costs'!O42+ (1-'23 Venting Notes'!D11)*'14 Space Heating Detailed Costs'!N42</f>
        <v>1056.1409574753739</v>
      </c>
      <c r="S60" s="618">
        <f>'23 Venting Notes'!E11*'14 Space Heating Detailed Costs'!O42+ (1-'23 Venting Notes'!E11)*'14 Space Heating Detailed Costs'!N42</f>
        <v>1684.4697545887141</v>
      </c>
      <c r="T60" s="644">
        <f>'23 Venting Notes'!E11*'14 Space Heating Detailed Costs'!O42+ (1-'23 Venting Notes'!F11)*'14 Space Heating Detailed Costs'!N42</f>
        <v>1905.6287638941881</v>
      </c>
    </row>
    <row r="61" spans="2:21" x14ac:dyDescent="0.25">
      <c r="B61" s="158" t="s">
        <v>365</v>
      </c>
      <c r="C61" s="607">
        <v>51</v>
      </c>
      <c r="D61" s="159"/>
      <c r="E61" s="158"/>
      <c r="F61" s="159"/>
      <c r="G61" s="42"/>
      <c r="H61" s="30" t="s">
        <v>932</v>
      </c>
      <c r="O61" s="222" t="s">
        <v>41</v>
      </c>
      <c r="P61" s="618">
        <f>'23 Venting Notes'!B12*'14 Space Heating Detailed Costs'!O43+ (1-'23 Venting Notes'!B12)*'14 Space Heating Detailed Costs'!N43</f>
        <v>1464.3213208336072</v>
      </c>
      <c r="Q61" s="618"/>
      <c r="R61" s="818">
        <v>0</v>
      </c>
      <c r="S61" s="618">
        <f>'23 Venting Notes'!E12*'14 Space Heating Detailed Costs'!O43+ (1-'23 Venting Notes'!E12)*'14 Space Heating Detailed Costs'!N43</f>
        <v>1629.3105997919872</v>
      </c>
      <c r="T61" s="819">
        <v>0</v>
      </c>
    </row>
    <row r="62" spans="2:21" x14ac:dyDescent="0.25">
      <c r="B62" s="158" t="s">
        <v>366</v>
      </c>
      <c r="C62" s="607">
        <v>7</v>
      </c>
      <c r="D62" s="159"/>
      <c r="E62" s="158"/>
      <c r="F62" s="159"/>
      <c r="G62" s="42"/>
      <c r="H62" s="30" t="s">
        <v>932</v>
      </c>
      <c r="O62" s="222" t="s">
        <v>44</v>
      </c>
      <c r="P62" s="618">
        <f>'23 Venting Notes'!B13*'14 Space Heating Detailed Costs'!O44+ (1-'23 Venting Notes'!B13)*'14 Space Heating Detailed Costs'!N44</f>
        <v>1534.0051468239053</v>
      </c>
      <c r="Q62" s="618"/>
      <c r="R62" s="818">
        <v>0</v>
      </c>
      <c r="S62" s="618">
        <f>'23 Venting Notes'!E13*'14 Space Heating Detailed Costs'!O44+ (1-'23 Venting Notes'!E13)*'14 Space Heating Detailed Costs'!N44</f>
        <v>1655.6812873222243</v>
      </c>
      <c r="T62" s="819">
        <v>0</v>
      </c>
    </row>
    <row r="63" spans="2:21" x14ac:dyDescent="0.25">
      <c r="B63" s="158" t="s">
        <v>1520</v>
      </c>
      <c r="C63" s="607">
        <v>19</v>
      </c>
      <c r="D63" s="158"/>
      <c r="E63" s="158"/>
      <c r="F63" s="158"/>
      <c r="O63" s="222" t="s">
        <v>34</v>
      </c>
      <c r="P63" s="618">
        <f>'23 Venting Notes'!B14*'14 Space Heating Detailed Costs'!O45+ (1-'23 Venting Notes'!B14)*'14 Space Heating Detailed Costs'!N45</f>
        <v>1048.3943419795303</v>
      </c>
      <c r="Q63" s="618"/>
      <c r="R63" s="818">
        <v>0</v>
      </c>
      <c r="S63" s="618">
        <f>'23 Venting Notes'!E14*'14 Space Heating Detailed Costs'!O45+ (1-'23 Venting Notes'!E14)*'14 Space Heating Detailed Costs'!N45</f>
        <v>1369.2022452914928</v>
      </c>
      <c r="T63" s="819">
        <v>0</v>
      </c>
    </row>
    <row r="64" spans="2:21" x14ac:dyDescent="0.25">
      <c r="B64" s="158" t="s">
        <v>1521</v>
      </c>
      <c r="C64" s="607">
        <v>7</v>
      </c>
      <c r="D64" s="158"/>
      <c r="E64" s="158"/>
      <c r="F64" s="158"/>
      <c r="O64" s="222" t="s">
        <v>20</v>
      </c>
      <c r="P64" s="618">
        <f>'23 Venting Notes'!B15*'14 Space Heating Detailed Costs'!O46+ (1-'23 Venting Notes'!B15)*'14 Space Heating Detailed Costs'!N46</f>
        <v>994.19091977887297</v>
      </c>
      <c r="Q64" s="618"/>
      <c r="R64" s="818">
        <v>0</v>
      </c>
      <c r="S64" s="618">
        <f>'23 Venting Notes'!E15*'14 Space Heating Detailed Costs'!O46+ (1-'23 Venting Notes'!E15)*'14 Space Heating Detailed Costs'!N46</f>
        <v>1329.7621099739704</v>
      </c>
      <c r="T64" s="819">
        <v>0</v>
      </c>
    </row>
    <row r="65" spans="2:20" x14ac:dyDescent="0.25">
      <c r="B65" s="158" t="s">
        <v>1522</v>
      </c>
      <c r="C65" s="607">
        <v>54</v>
      </c>
      <c r="D65" s="158"/>
      <c r="E65" s="158"/>
      <c r="F65" s="158"/>
      <c r="O65" s="222" t="s">
        <v>27</v>
      </c>
      <c r="P65" s="618">
        <f>'23 Venting Notes'!B16*'14 Space Heating Detailed Costs'!O47+ (1-'23 Venting Notes'!B16)*'14 Space Heating Detailed Costs'!N47</f>
        <v>963.78266689172847</v>
      </c>
      <c r="Q65" s="618"/>
      <c r="R65" s="818">
        <v>0</v>
      </c>
      <c r="S65" s="618">
        <f>'23 Venting Notes'!E16*'14 Space Heating Detailed Costs'!O47+ (1-'23 Venting Notes'!E16)*'14 Space Heating Detailed Costs'!N47</f>
        <v>1420.3322202604438</v>
      </c>
      <c r="T65" s="819">
        <v>0</v>
      </c>
    </row>
    <row r="66" spans="2:20" x14ac:dyDescent="0.25">
      <c r="B66" s="158" t="s">
        <v>1523</v>
      </c>
      <c r="C66" s="607">
        <v>29</v>
      </c>
      <c r="D66" s="158"/>
      <c r="E66" s="158"/>
      <c r="F66" s="158"/>
      <c r="O66" s="222" t="s">
        <v>25</v>
      </c>
      <c r="P66" s="618">
        <f>'23 Venting Notes'!B17*'14 Space Heating Detailed Costs'!O48+ (1-'23 Venting Notes'!B17)*'14 Space Heating Detailed Costs'!N48</f>
        <v>1235.8339980152009</v>
      </c>
      <c r="Q66" s="618"/>
      <c r="R66" s="818">
        <v>0</v>
      </c>
      <c r="S66" s="618">
        <f>'23 Venting Notes'!E17*'14 Space Heating Detailed Costs'!O48+ (1-'23 Venting Notes'!E17)*'14 Space Heating Detailed Costs'!N48</f>
        <v>1547.0084173982668</v>
      </c>
      <c r="T66" s="819">
        <v>0</v>
      </c>
    </row>
    <row r="67" spans="2:20" x14ac:dyDescent="0.25">
      <c r="B67" s="158" t="s">
        <v>1524</v>
      </c>
      <c r="C67" s="607">
        <v>17</v>
      </c>
      <c r="D67" s="158"/>
      <c r="E67" s="158"/>
      <c r="F67" s="158"/>
      <c r="O67" s="222" t="s">
        <v>23</v>
      </c>
      <c r="P67" s="618">
        <f>'23 Venting Notes'!B18*'14 Space Heating Detailed Costs'!O49+ (1-'23 Venting Notes'!B18)*'14 Space Heating Detailed Costs'!N49</f>
        <v>1239.7837763377968</v>
      </c>
      <c r="Q67" s="618"/>
      <c r="R67" s="818">
        <v>0</v>
      </c>
      <c r="S67" s="618">
        <f>'23 Venting Notes'!E18*'14 Space Heating Detailed Costs'!O49+ (1-'23 Venting Notes'!E18)*'14 Space Heating Detailed Costs'!N49</f>
        <v>1778.5622023485546</v>
      </c>
      <c r="T67" s="819">
        <v>0</v>
      </c>
    </row>
    <row r="68" spans="2:20" ht="15.75" thickBot="1" x14ac:dyDescent="0.3">
      <c r="B68" s="158" t="s">
        <v>1525</v>
      </c>
      <c r="C68" s="607">
        <v>100</v>
      </c>
      <c r="D68" s="158"/>
      <c r="E68" s="158"/>
      <c r="F68" s="158"/>
      <c r="O68" s="953" t="s">
        <v>151</v>
      </c>
      <c r="P68" s="816">
        <f>'23 Venting Notes'!B19*'14 Space Heating Detailed Costs'!O50+ (1-'23 Venting Notes'!B19)*'14 Space Heating Detailed Costs'!N50</f>
        <v>1289.747740615855</v>
      </c>
      <c r="Q68" s="816"/>
      <c r="R68" s="816">
        <f>AVERAGE(R60,R59)</f>
        <v>1072.7779375184052</v>
      </c>
      <c r="S68" s="816">
        <f>'23 Venting Notes'!E19*'14 Space Heating Detailed Costs'!O50+ (1-'23 Venting Notes'!E19)*'14 Space Heating Detailed Costs'!N50</f>
        <v>1539.6339209978187</v>
      </c>
      <c r="T68" s="817">
        <f>AVERAGE(T60,T59)</f>
        <v>1939.9671152874239</v>
      </c>
    </row>
    <row r="69" spans="2:20" x14ac:dyDescent="0.25">
      <c r="B69" s="158"/>
      <c r="C69" s="607"/>
      <c r="D69" s="158"/>
      <c r="E69" s="158"/>
      <c r="F69" s="158"/>
      <c r="O69" s="5" t="s">
        <v>1450</v>
      </c>
      <c r="Q69" s="19"/>
    </row>
    <row r="70" spans="2:20" x14ac:dyDescent="0.25">
      <c r="B70" s="158"/>
      <c r="C70" s="493"/>
      <c r="D70" s="158"/>
      <c r="E70" s="158"/>
      <c r="F70" s="158"/>
    </row>
    <row r="71" spans="2:20" x14ac:dyDescent="0.25">
      <c r="B71" s="158" t="s">
        <v>1431</v>
      </c>
      <c r="C71" s="158" t="s">
        <v>874</v>
      </c>
      <c r="D71" s="590">
        <f>10.8-5.6</f>
        <v>5.2000000000000011</v>
      </c>
      <c r="E71" s="158"/>
      <c r="F71" s="158"/>
    </row>
    <row r="72" spans="2:20" x14ac:dyDescent="0.25">
      <c r="B72" s="611"/>
      <c r="C72" s="158"/>
      <c r="D72" s="158"/>
      <c r="E72" s="158"/>
      <c r="F72" s="158"/>
    </row>
    <row r="73" spans="2:20" x14ac:dyDescent="0.25">
      <c r="B73" s="24" t="s">
        <v>1430</v>
      </c>
      <c r="C73" s="159" t="s">
        <v>873</v>
      </c>
      <c r="D73" s="158">
        <v>6</v>
      </c>
      <c r="E73" s="158"/>
      <c r="F73" s="158"/>
      <c r="H73" s="30" t="s">
        <v>1304</v>
      </c>
    </row>
    <row r="74" spans="2:20" x14ac:dyDescent="0.25">
      <c r="B74" s="1192" t="s">
        <v>634</v>
      </c>
      <c r="C74" s="1192"/>
      <c r="D74" s="1192"/>
      <c r="E74" s="1192"/>
      <c r="F74" s="1192"/>
      <c r="G74" s="1192"/>
      <c r="H74" s="1192"/>
      <c r="I74" s="1192"/>
      <c r="J74" s="1192"/>
      <c r="K74" s="1192"/>
      <c r="L74" s="1192"/>
    </row>
    <row r="75" spans="2:20" ht="17.25" x14ac:dyDescent="0.25">
      <c r="B75" s="232" t="s">
        <v>298</v>
      </c>
      <c r="C75" s="24" t="s">
        <v>127</v>
      </c>
      <c r="D75" s="24" t="s">
        <v>239</v>
      </c>
      <c r="E75" s="24" t="s">
        <v>299</v>
      </c>
      <c r="F75" s="24" t="s">
        <v>870</v>
      </c>
      <c r="G75" s="24"/>
      <c r="H75" s="233"/>
      <c r="I75" s="233"/>
      <c r="J75" s="233"/>
      <c r="K75" s="233"/>
      <c r="L75" s="231"/>
    </row>
    <row r="76" spans="2:20" ht="17.25" x14ac:dyDescent="0.25">
      <c r="B76" s="232" t="s">
        <v>7</v>
      </c>
      <c r="C76" s="233"/>
      <c r="D76" s="233"/>
      <c r="E76" s="311">
        <f>C84</f>
        <v>300</v>
      </c>
      <c r="F76" s="615">
        <f>D88/E88</f>
        <v>34.354086141194735</v>
      </c>
      <c r="H76" s="167" t="s">
        <v>868</v>
      </c>
      <c r="I76" s="233"/>
      <c r="J76" s="233"/>
      <c r="K76" s="233"/>
      <c r="L76" s="231"/>
    </row>
    <row r="77" spans="2:20" ht="17.25" x14ac:dyDescent="0.25">
      <c r="B77" s="233" t="s">
        <v>1503</v>
      </c>
      <c r="C77" s="233"/>
      <c r="D77" s="233"/>
      <c r="E77" s="233"/>
      <c r="F77" s="233"/>
      <c r="G77" s="233"/>
      <c r="H77" s="167" t="s">
        <v>370</v>
      </c>
      <c r="I77" s="233"/>
      <c r="J77" s="233"/>
      <c r="K77" s="233"/>
      <c r="L77" s="231"/>
    </row>
    <row r="78" spans="2:20" ht="17.25" x14ac:dyDescent="0.25">
      <c r="B78" s="233" t="s">
        <v>1504</v>
      </c>
      <c r="C78" s="233"/>
      <c r="D78" s="233"/>
      <c r="E78" s="233"/>
      <c r="F78" s="233"/>
      <c r="G78" s="233"/>
      <c r="I78" s="233"/>
      <c r="J78" s="233"/>
      <c r="K78" s="233"/>
      <c r="L78" s="231"/>
    </row>
    <row r="79" spans="2:20" ht="17.25" x14ac:dyDescent="0.25">
      <c r="B79" s="233" t="s">
        <v>1505</v>
      </c>
      <c r="C79" s="233"/>
      <c r="D79" s="233"/>
      <c r="E79" s="233"/>
      <c r="F79" s="233"/>
      <c r="G79" s="233"/>
      <c r="I79" s="233"/>
      <c r="J79" s="233"/>
      <c r="K79" s="233"/>
      <c r="L79" s="231"/>
    </row>
    <row r="80" spans="2:20" ht="17.25" x14ac:dyDescent="0.25">
      <c r="B80" s="166" t="s">
        <v>1506</v>
      </c>
      <c r="C80" s="233"/>
      <c r="D80" s="233"/>
      <c r="E80" s="233"/>
      <c r="F80" s="233"/>
      <c r="G80" s="233"/>
      <c r="I80" s="233"/>
      <c r="J80" s="233"/>
      <c r="K80" s="233"/>
      <c r="L80" s="231"/>
      <c r="Q80" s="19"/>
    </row>
    <row r="81" spans="2:18" ht="17.25" x14ac:dyDescent="0.25">
      <c r="B81" s="233" t="s">
        <v>1507</v>
      </c>
      <c r="C81" s="233"/>
      <c r="D81" s="233"/>
      <c r="E81" s="233"/>
      <c r="F81" s="233"/>
      <c r="G81" s="233"/>
      <c r="I81" s="233"/>
      <c r="J81" s="233"/>
      <c r="K81" s="233"/>
      <c r="L81" s="231"/>
      <c r="Q81" s="19"/>
    </row>
    <row r="82" spans="2:18" ht="17.25" x14ac:dyDescent="0.25">
      <c r="B82" s="233" t="s">
        <v>1508</v>
      </c>
      <c r="C82" s="233"/>
      <c r="D82" s="233"/>
      <c r="E82" s="233"/>
      <c r="F82" s="233"/>
      <c r="G82" s="233"/>
      <c r="I82" s="233"/>
      <c r="J82" s="233"/>
      <c r="K82" s="233"/>
      <c r="L82" s="231"/>
      <c r="Q82" s="19"/>
    </row>
    <row r="83" spans="2:18" ht="17.25" x14ac:dyDescent="0.25">
      <c r="B83" s="233" t="s">
        <v>1509</v>
      </c>
      <c r="C83" s="233"/>
      <c r="D83" s="233"/>
      <c r="E83" s="233"/>
      <c r="F83" s="233"/>
      <c r="G83" s="233"/>
      <c r="I83" s="233"/>
      <c r="J83" s="233"/>
      <c r="K83" s="233"/>
      <c r="L83" s="231"/>
      <c r="Q83" s="19"/>
    </row>
    <row r="84" spans="2:18" ht="17.25" x14ac:dyDescent="0.25">
      <c r="B84" s="233" t="s">
        <v>1510</v>
      </c>
      <c r="C84" s="616">
        <f>(500+100)/2</f>
        <v>300</v>
      </c>
      <c r="D84" s="617"/>
      <c r="E84" s="158"/>
      <c r="F84" s="233"/>
      <c r="G84" s="233"/>
      <c r="I84" s="233"/>
      <c r="J84" s="233"/>
      <c r="K84" s="233"/>
      <c r="L84" s="231"/>
      <c r="N84" s="30"/>
      <c r="Q84" s="19"/>
    </row>
    <row r="85" spans="2:18" ht="17.25" x14ac:dyDescent="0.25">
      <c r="B85" s="233"/>
      <c r="C85" s="158"/>
      <c r="D85" s="618"/>
      <c r="E85" s="158"/>
      <c r="F85" s="233"/>
      <c r="G85" s="233"/>
      <c r="H85" s="167" t="s">
        <v>367</v>
      </c>
      <c r="I85" s="233"/>
      <c r="J85" s="233"/>
      <c r="K85" s="233"/>
      <c r="L85" s="231"/>
      <c r="N85" s="30"/>
      <c r="Q85" s="19"/>
    </row>
    <row r="86" spans="2:18" ht="17.25" x14ac:dyDescent="0.25">
      <c r="B86" s="619" t="s">
        <v>1429</v>
      </c>
      <c r="C86" s="620" t="s">
        <v>371</v>
      </c>
      <c r="D86" s="593"/>
      <c r="E86" s="594"/>
      <c r="F86" s="158"/>
      <c r="H86" s="271" t="s">
        <v>528</v>
      </c>
      <c r="I86" s="233"/>
      <c r="J86" s="233"/>
      <c r="K86" s="233"/>
      <c r="L86" s="231"/>
      <c r="Q86" s="19"/>
    </row>
    <row r="87" spans="2:18" ht="17.25" x14ac:dyDescent="0.25">
      <c r="B87" s="621" t="s">
        <v>529</v>
      </c>
      <c r="C87" s="233" t="s">
        <v>372</v>
      </c>
      <c r="D87" s="233" t="s">
        <v>229</v>
      </c>
      <c r="E87" s="622" t="s">
        <v>1428</v>
      </c>
      <c r="F87" s="233"/>
      <c r="G87" s="233"/>
      <c r="H87" s="233"/>
      <c r="I87" s="233"/>
      <c r="J87" s="233"/>
      <c r="K87" s="233"/>
      <c r="L87" s="231"/>
      <c r="N87" s="5" t="s">
        <v>1242</v>
      </c>
      <c r="Q87" s="19"/>
    </row>
    <row r="88" spans="2:18" ht="18" thickBot="1" x14ac:dyDescent="0.3">
      <c r="B88" s="623" t="s">
        <v>530</v>
      </c>
      <c r="C88" s="616">
        <f>(1500+2000+1200+3000)/4</f>
        <v>1925</v>
      </c>
      <c r="D88" s="616">
        <f>(C88/(1+'19 General Wages'!K19))/(1+'19 General Wages'!K19)</f>
        <v>1793.753290570429</v>
      </c>
      <c r="E88" s="794">
        <f>'19 General Wages'!$J$18*(1+'19 General Wages'!$L$18+'21 Sales Taxes'!$G$17)*(1+'14 Space Heating Detailed Costs'!$I$5)</f>
        <v>52.213680876217524</v>
      </c>
      <c r="F88" s="233"/>
      <c r="G88" s="233"/>
      <c r="H88" s="233"/>
      <c r="I88" s="233"/>
      <c r="J88" s="233"/>
      <c r="K88" s="233"/>
      <c r="L88" s="231"/>
      <c r="N88" s="30" t="s">
        <v>1619</v>
      </c>
      <c r="Q88" s="19"/>
    </row>
    <row r="89" spans="2:18" ht="24.75" customHeight="1" x14ac:dyDescent="0.25">
      <c r="B89" s="624" t="s">
        <v>1502</v>
      </c>
      <c r="C89" s="625" t="s">
        <v>1258</v>
      </c>
      <c r="D89" s="625">
        <v>6</v>
      </c>
      <c r="E89" s="626"/>
      <c r="F89" s="233"/>
      <c r="G89" s="233"/>
      <c r="H89" s="233"/>
      <c r="I89" s="233"/>
      <c r="J89" s="233"/>
      <c r="K89" s="233"/>
      <c r="L89" s="231"/>
      <c r="M89" s="1197" t="s">
        <v>539</v>
      </c>
      <c r="N89" s="1198"/>
      <c r="O89" s="1198"/>
      <c r="P89" s="1198"/>
      <c r="Q89" s="1198"/>
      <c r="R89" s="1199"/>
    </row>
    <row r="90" spans="2:18" ht="17.25" x14ac:dyDescent="0.25">
      <c r="B90" s="235"/>
      <c r="C90" s="235"/>
      <c r="D90" s="235"/>
      <c r="E90" s="235"/>
      <c r="F90" s="235"/>
      <c r="G90" s="233"/>
      <c r="H90" s="233"/>
      <c r="I90" s="233"/>
      <c r="J90" s="233"/>
      <c r="K90" s="233"/>
      <c r="L90" s="231"/>
      <c r="M90" s="418" t="s">
        <v>519</v>
      </c>
      <c r="N90" s="24" t="s">
        <v>533</v>
      </c>
      <c r="O90" s="24" t="s">
        <v>84</v>
      </c>
      <c r="P90" s="24" t="s">
        <v>485</v>
      </c>
      <c r="Q90" s="242" t="s">
        <v>538</v>
      </c>
      <c r="R90" s="420" t="s">
        <v>540</v>
      </c>
    </row>
    <row r="91" spans="2:18" x14ac:dyDescent="0.25">
      <c r="B91" s="1192" t="s">
        <v>349</v>
      </c>
      <c r="C91" s="1192"/>
      <c r="D91" s="1192"/>
      <c r="E91" s="1192"/>
      <c r="F91" s="1192"/>
      <c r="G91" s="1192"/>
      <c r="H91" s="1192"/>
      <c r="I91" s="1192"/>
      <c r="J91" s="1192"/>
      <c r="K91" s="1192"/>
      <c r="L91" s="1192"/>
      <c r="M91" s="1060" t="s">
        <v>41</v>
      </c>
      <c r="N91" s="159">
        <v>9</v>
      </c>
      <c r="O91" s="576">
        <f t="shared" ref="O91:O100" si="0">$E$93+(200*N91)</f>
        <v>3050</v>
      </c>
      <c r="P91" s="576">
        <f t="shared" ref="P91:P100" si="1">$G$93-(10-N91)*($F$97*$E$96)</f>
        <v>2500</v>
      </c>
      <c r="Q91" s="577">
        <f t="shared" ref="Q91:Q100" si="2">O91+P91</f>
        <v>5550</v>
      </c>
      <c r="R91" s="1061">
        <f>(Q91/(1+'19 General Wages'!$I$19))/(1+'19 General Wages'!$I$19)</f>
        <v>5302.5472718623651</v>
      </c>
    </row>
    <row r="92" spans="2:18" x14ac:dyDescent="0.25">
      <c r="B92" s="24" t="s">
        <v>298</v>
      </c>
      <c r="C92" s="24" t="s">
        <v>127</v>
      </c>
      <c r="D92" s="24" t="s">
        <v>239</v>
      </c>
      <c r="E92" s="24" t="s">
        <v>299</v>
      </c>
      <c r="F92" s="24" t="s">
        <v>870</v>
      </c>
      <c r="G92" s="24" t="s">
        <v>537</v>
      </c>
      <c r="M92" s="1060" t="s">
        <v>20</v>
      </c>
      <c r="N92" s="159">
        <v>8</v>
      </c>
      <c r="O92" s="576">
        <f t="shared" si="0"/>
        <v>2850</v>
      </c>
      <c r="P92" s="576">
        <f t="shared" si="1"/>
        <v>2000</v>
      </c>
      <c r="Q92" s="577">
        <f t="shared" si="2"/>
        <v>4850</v>
      </c>
      <c r="R92" s="1061">
        <f>(Q92/(1+'19 General Wages'!$I$19))/(1+'19 General Wages'!$I$19)</f>
        <v>4633.7575258617071</v>
      </c>
    </row>
    <row r="93" spans="2:18" x14ac:dyDescent="0.25">
      <c r="B93" s="159" t="s">
        <v>311</v>
      </c>
      <c r="C93" s="159" t="s">
        <v>1248</v>
      </c>
      <c r="D93" s="616">
        <f>2500/2</f>
        <v>1250</v>
      </c>
      <c r="E93" s="311">
        <f>D93</f>
        <v>1250</v>
      </c>
      <c r="F93" s="615">
        <f>(D96+D95)/E96</f>
        <v>56.649342190479132</v>
      </c>
      <c r="G93" s="627">
        <f>D95+D96</f>
        <v>3000</v>
      </c>
      <c r="H93" s="169" t="s">
        <v>310</v>
      </c>
      <c r="M93" s="1060" t="s">
        <v>60</v>
      </c>
      <c r="N93" s="159">
        <v>11</v>
      </c>
      <c r="O93" s="576">
        <f t="shared" si="0"/>
        <v>3450</v>
      </c>
      <c r="P93" s="576">
        <f t="shared" si="1"/>
        <v>3500</v>
      </c>
      <c r="Q93" s="577">
        <f t="shared" si="2"/>
        <v>6950</v>
      </c>
      <c r="R93" s="1061">
        <f>(Q93/(1+'19 General Wages'!$I$19))/(1+'19 General Wages'!$I$19)</f>
        <v>6640.1267638636837</v>
      </c>
    </row>
    <row r="94" spans="2:18" x14ac:dyDescent="0.25">
      <c r="B94" s="159" t="s">
        <v>534</v>
      </c>
      <c r="C94" s="159" t="s">
        <v>535</v>
      </c>
      <c r="D94" s="616">
        <v>200</v>
      </c>
      <c r="E94" s="67"/>
      <c r="F94" s="158"/>
      <c r="G94" s="158"/>
      <c r="H94" s="169" t="s">
        <v>310</v>
      </c>
      <c r="M94" s="1060" t="s">
        <v>25</v>
      </c>
      <c r="N94" s="159">
        <v>10</v>
      </c>
      <c r="O94" s="576">
        <f t="shared" si="0"/>
        <v>3250</v>
      </c>
      <c r="P94" s="576">
        <f t="shared" si="1"/>
        <v>3000</v>
      </c>
      <c r="Q94" s="577">
        <f t="shared" si="2"/>
        <v>6250</v>
      </c>
      <c r="R94" s="1061">
        <f>(Q94/(1+'19 General Wages'!$I$19))/(1+'19 General Wages'!$I$19)</f>
        <v>5971.3370178630248</v>
      </c>
    </row>
    <row r="95" spans="2:18" x14ac:dyDescent="0.25">
      <c r="B95" s="159" t="s">
        <v>1511</v>
      </c>
      <c r="C95" s="159" t="s">
        <v>1344</v>
      </c>
      <c r="D95" s="616">
        <f>(500+1500)/2</f>
        <v>1000</v>
      </c>
      <c r="E95" s="242" t="s">
        <v>1240</v>
      </c>
      <c r="F95" s="159"/>
      <c r="G95" s="159"/>
      <c r="H95" s="30" t="s">
        <v>536</v>
      </c>
      <c r="M95" s="1060" t="s">
        <v>32</v>
      </c>
      <c r="N95" s="159">
        <v>12</v>
      </c>
      <c r="O95" s="576">
        <f t="shared" si="0"/>
        <v>3650</v>
      </c>
      <c r="P95" s="576">
        <f t="shared" si="1"/>
        <v>4000</v>
      </c>
      <c r="Q95" s="577">
        <f t="shared" si="2"/>
        <v>7650</v>
      </c>
      <c r="R95" s="1061">
        <f>(Q95/(1+'19 General Wages'!$I$19))/(1+'19 General Wages'!$I$19)</f>
        <v>7308.9165098643416</v>
      </c>
    </row>
    <row r="96" spans="2:18" x14ac:dyDescent="0.25">
      <c r="B96" s="159" t="s">
        <v>1512</v>
      </c>
      <c r="C96" s="159" t="s">
        <v>1346</v>
      </c>
      <c r="D96" s="616">
        <f>(1000+3000)/2</f>
        <v>2000</v>
      </c>
      <c r="E96" s="629">
        <f>'19 General Wages'!I18*(1+'19 General Wages'!L18+'21 Sales Taxes'!G17)*(1+'14 Space Heating Detailed Costs'!I5)</f>
        <v>52.95736691721374</v>
      </c>
      <c r="F96" s="24" t="s">
        <v>1241</v>
      </c>
      <c r="G96" s="159"/>
      <c r="H96" s="167"/>
      <c r="M96" s="1060" t="s">
        <v>23</v>
      </c>
      <c r="N96" s="159">
        <v>10</v>
      </c>
      <c r="O96" s="576">
        <f t="shared" si="0"/>
        <v>3250</v>
      </c>
      <c r="P96" s="576">
        <f t="shared" si="1"/>
        <v>3000</v>
      </c>
      <c r="Q96" s="577">
        <f t="shared" si="2"/>
        <v>6250</v>
      </c>
      <c r="R96" s="1061">
        <f>(Q96/(1+'19 General Wages'!$I$19))/(1+'19 General Wages'!$I$19)</f>
        <v>5971.3370178630248</v>
      </c>
    </row>
    <row r="97" spans="2:18" x14ac:dyDescent="0.25">
      <c r="B97" s="158" t="s">
        <v>1513</v>
      </c>
      <c r="C97" s="158" t="s">
        <v>531</v>
      </c>
      <c r="D97" s="616">
        <f>(200+800)/2</f>
        <v>500</v>
      </c>
      <c r="E97" s="158"/>
      <c r="F97" s="628">
        <f>D97/E96</f>
        <v>9.4415570317465214</v>
      </c>
      <c r="G97" s="158"/>
      <c r="M97" s="1060" t="s">
        <v>34</v>
      </c>
      <c r="N97" s="159">
        <v>8</v>
      </c>
      <c r="O97" s="576">
        <f t="shared" si="0"/>
        <v>2850</v>
      </c>
      <c r="P97" s="576">
        <f t="shared" si="1"/>
        <v>2000</v>
      </c>
      <c r="Q97" s="577">
        <f t="shared" si="2"/>
        <v>4850</v>
      </c>
      <c r="R97" s="1061">
        <f>(Q97/(1+'19 General Wages'!$I$19))/(1+'19 General Wages'!$I$19)</f>
        <v>4633.7575258617071</v>
      </c>
    </row>
    <row r="98" spans="2:18" x14ac:dyDescent="0.25">
      <c r="B98" s="1192" t="s">
        <v>867</v>
      </c>
      <c r="C98" s="1192"/>
      <c r="D98" s="1192"/>
      <c r="E98" s="1192"/>
      <c r="F98" s="1192"/>
      <c r="G98" s="1192"/>
      <c r="H98" s="1192"/>
      <c r="I98" s="1192"/>
      <c r="J98" s="1192"/>
      <c r="K98" s="1192"/>
      <c r="L98" s="1209"/>
      <c r="M98" s="1060" t="s">
        <v>44</v>
      </c>
      <c r="N98" s="159">
        <v>11</v>
      </c>
      <c r="O98" s="576">
        <f t="shared" si="0"/>
        <v>3450</v>
      </c>
      <c r="P98" s="576">
        <f t="shared" si="1"/>
        <v>3500</v>
      </c>
      <c r="Q98" s="577">
        <f t="shared" si="2"/>
        <v>6950</v>
      </c>
      <c r="R98" s="1061">
        <f>(Q98/(1+'19 General Wages'!$I$19))/(1+'19 General Wages'!$I$19)</f>
        <v>6640.1267638636837</v>
      </c>
    </row>
    <row r="99" spans="2:18" x14ac:dyDescent="0.25">
      <c r="B99" s="24" t="s">
        <v>298</v>
      </c>
      <c r="C99" s="24" t="s">
        <v>127</v>
      </c>
      <c r="D99" s="24" t="s">
        <v>239</v>
      </c>
      <c r="E99" s="24" t="s">
        <v>299</v>
      </c>
      <c r="F99" s="24" t="s">
        <v>870</v>
      </c>
      <c r="G99" s="24"/>
      <c r="K99" s="251" t="s">
        <v>377</v>
      </c>
      <c r="M99" s="1060" t="s">
        <v>27</v>
      </c>
      <c r="N99" s="159">
        <v>8</v>
      </c>
      <c r="O99" s="576">
        <f t="shared" si="0"/>
        <v>2850</v>
      </c>
      <c r="P99" s="576">
        <f t="shared" si="1"/>
        <v>2000</v>
      </c>
      <c r="Q99" s="577">
        <f t="shared" si="2"/>
        <v>4850</v>
      </c>
      <c r="R99" s="1061">
        <f>(Q99/(1+'19 General Wages'!$I$19))/(1+'19 General Wages'!$I$19)</f>
        <v>4633.7575258617071</v>
      </c>
    </row>
    <row r="100" spans="2:18" ht="15.75" thickBot="1" x14ac:dyDescent="0.3">
      <c r="B100" s="24"/>
      <c r="C100" s="159"/>
      <c r="D100" s="159"/>
      <c r="E100" s="630">
        <f>C104</f>
        <v>550</v>
      </c>
      <c r="F100" s="307">
        <f>D101</f>
        <v>4</v>
      </c>
      <c r="G100" s="62"/>
      <c r="H100" s="30" t="s">
        <v>312</v>
      </c>
      <c r="M100" s="859" t="s">
        <v>151</v>
      </c>
      <c r="N100" s="661">
        <v>10</v>
      </c>
      <c r="O100" s="662">
        <f t="shared" si="0"/>
        <v>3250</v>
      </c>
      <c r="P100" s="662">
        <f t="shared" si="1"/>
        <v>3000</v>
      </c>
      <c r="Q100" s="663">
        <f t="shared" si="2"/>
        <v>6250</v>
      </c>
      <c r="R100" s="1062">
        <f>(Q100/(1+'19 General Wages'!$I$19))/(1+'19 General Wages'!$I$19)</f>
        <v>5971.3370178630248</v>
      </c>
    </row>
    <row r="101" spans="2:18" x14ac:dyDescent="0.25">
      <c r="B101" s="24" t="s">
        <v>6</v>
      </c>
      <c r="C101" s="159" t="s">
        <v>1247</v>
      </c>
      <c r="D101" s="159">
        <v>4</v>
      </c>
      <c r="E101" s="158"/>
      <c r="F101" s="159"/>
      <c r="G101" s="42"/>
      <c r="H101" s="30" t="s">
        <v>638</v>
      </c>
    </row>
    <row r="102" spans="2:18" x14ac:dyDescent="0.25">
      <c r="B102" s="158"/>
      <c r="C102" s="159"/>
      <c r="D102" s="159"/>
      <c r="E102" s="159"/>
      <c r="F102" s="159"/>
      <c r="G102" s="42"/>
    </row>
    <row r="103" spans="2:18" x14ac:dyDescent="0.25">
      <c r="B103" s="24"/>
      <c r="C103" s="159"/>
      <c r="D103" s="159"/>
      <c r="E103" s="164"/>
      <c r="F103" s="159"/>
      <c r="G103" s="42"/>
    </row>
    <row r="104" spans="2:18" x14ac:dyDescent="0.25">
      <c r="B104" s="158"/>
      <c r="C104" s="411">
        <v>550</v>
      </c>
      <c r="D104" s="159"/>
      <c r="E104" s="158"/>
      <c r="F104" s="158"/>
    </row>
    <row r="105" spans="2:18" x14ac:dyDescent="0.25">
      <c r="B105" s="1192" t="s">
        <v>1041</v>
      </c>
      <c r="C105" s="1192"/>
      <c r="D105" s="1192"/>
      <c r="E105" s="1192"/>
      <c r="F105" s="1192"/>
      <c r="G105" s="1192"/>
      <c r="H105" s="1192"/>
      <c r="I105" s="1192"/>
      <c r="J105" s="1192"/>
      <c r="K105" s="1192"/>
      <c r="L105" s="1192"/>
    </row>
    <row r="106" spans="2:18" x14ac:dyDescent="0.25">
      <c r="B106" s="24" t="s">
        <v>313</v>
      </c>
      <c r="C106" s="24" t="s">
        <v>298</v>
      </c>
      <c r="D106" s="24" t="s">
        <v>314</v>
      </c>
      <c r="E106" s="24" t="s">
        <v>299</v>
      </c>
      <c r="F106" s="24" t="s">
        <v>870</v>
      </c>
      <c r="G106" s="24"/>
    </row>
    <row r="107" spans="2:18" ht="30" x14ac:dyDescent="0.25">
      <c r="B107" s="24" t="s">
        <v>315</v>
      </c>
      <c r="C107" s="24" t="s">
        <v>7</v>
      </c>
      <c r="D107" s="262" t="s">
        <v>316</v>
      </c>
      <c r="E107" s="630">
        <f>(300+1500)/2</f>
        <v>900</v>
      </c>
      <c r="F107" s="631">
        <f>(6+8)/2</f>
        <v>7</v>
      </c>
      <c r="H107" s="161" t="s">
        <v>373</v>
      </c>
    </row>
    <row r="108" spans="2:18" x14ac:dyDescent="0.25">
      <c r="B108" s="159"/>
      <c r="C108" s="159" t="s">
        <v>317</v>
      </c>
      <c r="D108" s="159" t="s">
        <v>1244</v>
      </c>
      <c r="E108" s="158"/>
      <c r="F108" s="158"/>
      <c r="H108" s="161"/>
    </row>
    <row r="109" spans="2:18" x14ac:dyDescent="0.25">
      <c r="B109" s="159"/>
      <c r="C109" s="159" t="s">
        <v>318</v>
      </c>
      <c r="D109" s="159" t="s">
        <v>465</v>
      </c>
      <c r="E109" s="158"/>
      <c r="F109" s="158"/>
      <c r="H109" s="161"/>
    </row>
    <row r="110" spans="2:18" x14ac:dyDescent="0.25">
      <c r="B110" s="159"/>
      <c r="C110" s="24" t="s">
        <v>1430</v>
      </c>
      <c r="D110" s="159" t="s">
        <v>1245</v>
      </c>
      <c r="E110" s="158"/>
      <c r="F110" s="158"/>
      <c r="H110" s="161" t="s">
        <v>319</v>
      </c>
    </row>
    <row r="111" spans="2:18" x14ac:dyDescent="0.25">
      <c r="B111" s="24" t="s">
        <v>320</v>
      </c>
      <c r="C111" s="24" t="s">
        <v>7</v>
      </c>
      <c r="D111" s="159" t="s">
        <v>321</v>
      </c>
      <c r="E111" s="158"/>
      <c r="F111" s="158"/>
      <c r="H111" s="169" t="s">
        <v>933</v>
      </c>
    </row>
    <row r="112" spans="2:18" x14ac:dyDescent="0.25">
      <c r="B112" s="159"/>
      <c r="C112" s="159" t="s">
        <v>322</v>
      </c>
      <c r="D112" s="159" t="s">
        <v>1246</v>
      </c>
      <c r="E112" s="158"/>
      <c r="F112" s="158"/>
      <c r="H112" s="161" t="s">
        <v>932</v>
      </c>
    </row>
    <row r="113" spans="2:19" x14ac:dyDescent="0.25">
      <c r="B113" s="159"/>
      <c r="C113" s="159" t="s">
        <v>323</v>
      </c>
      <c r="D113" s="159" t="s">
        <v>488</v>
      </c>
      <c r="E113" s="158"/>
      <c r="F113" s="158"/>
      <c r="H113" s="42"/>
    </row>
    <row r="114" spans="2:19" x14ac:dyDescent="0.25">
      <c r="B114" s="159"/>
      <c r="C114" s="159" t="s">
        <v>318</v>
      </c>
      <c r="D114" s="159" t="s">
        <v>1243</v>
      </c>
      <c r="E114" s="630">
        <f>(100+500)/2</f>
        <v>300</v>
      </c>
      <c r="F114" s="158"/>
      <c r="H114" s="42"/>
    </row>
    <row r="115" spans="2:19" x14ac:dyDescent="0.25">
      <c r="B115" s="159"/>
      <c r="C115" s="24" t="s">
        <v>1430</v>
      </c>
      <c r="D115" s="159" t="s">
        <v>873</v>
      </c>
      <c r="E115" s="158"/>
      <c r="F115" s="895">
        <f>AVERAGE(4, 8)</f>
        <v>6</v>
      </c>
      <c r="H115" s="161"/>
    </row>
    <row r="116" spans="2:19" ht="15" customHeight="1" x14ac:dyDescent="0.25">
      <c r="B116" s="159"/>
      <c r="C116" s="24"/>
      <c r="D116" s="159"/>
      <c r="E116" s="164"/>
      <c r="F116" s="158"/>
    </row>
    <row r="117" spans="2:19" ht="15" customHeight="1" x14ac:dyDescent="0.25">
      <c r="B117" s="1210" t="s">
        <v>1082</v>
      </c>
      <c r="C117" s="1210"/>
      <c r="D117" s="1210"/>
      <c r="E117" s="1210"/>
      <c r="F117" s="1210"/>
      <c r="G117" s="1210"/>
      <c r="H117" s="1210"/>
      <c r="I117" s="1210"/>
      <c r="J117" s="1210"/>
      <c r="K117" s="1211"/>
    </row>
    <row r="118" spans="2:19" ht="18" customHeight="1" x14ac:dyDescent="0.25">
      <c r="B118" s="24" t="s">
        <v>298</v>
      </c>
      <c r="D118" s="24" t="s">
        <v>1347</v>
      </c>
      <c r="E118" s="24" t="s">
        <v>239</v>
      </c>
      <c r="F118" s="24" t="s">
        <v>299</v>
      </c>
      <c r="G118" s="24"/>
      <c r="H118" s="24" t="s">
        <v>870</v>
      </c>
      <c r="K118" s="506"/>
      <c r="L118" s="1204" t="s">
        <v>520</v>
      </c>
      <c r="M118" s="1204"/>
      <c r="N118" s="1204"/>
      <c r="O118" s="1204"/>
      <c r="P118" s="1205"/>
    </row>
    <row r="119" spans="2:19" x14ac:dyDescent="0.25">
      <c r="B119" s="159" t="s">
        <v>1526</v>
      </c>
      <c r="C119" s="159"/>
      <c r="D119" s="158"/>
      <c r="E119" s="610">
        <f>M121/N121</f>
        <v>16.061650663415719</v>
      </c>
      <c r="F119" s="311">
        <f>D130</f>
        <v>307.5</v>
      </c>
      <c r="G119" s="242"/>
      <c r="H119" s="632">
        <f>(E120+E119)/2</f>
        <v>15.33082533170786</v>
      </c>
      <c r="I119" s="462" t="s">
        <v>631</v>
      </c>
      <c r="J119" s="471"/>
      <c r="L119" s="1206" t="s">
        <v>872</v>
      </c>
      <c r="M119" s="1207"/>
      <c r="N119" s="1208"/>
      <c r="O119" s="45"/>
      <c r="P119" s="26"/>
    </row>
    <row r="120" spans="2:19" ht="15" customHeight="1" x14ac:dyDescent="0.25">
      <c r="B120" s="159" t="s">
        <v>1527</v>
      </c>
      <c r="C120" s="159" t="s">
        <v>465</v>
      </c>
      <c r="D120" s="158"/>
      <c r="E120" s="610">
        <f>14.6</f>
        <v>14.6</v>
      </c>
      <c r="F120" s="158"/>
      <c r="G120" s="158"/>
      <c r="H120" s="158"/>
      <c r="I120" s="471"/>
      <c r="J120" s="471"/>
      <c r="L120" s="28" t="s">
        <v>372</v>
      </c>
      <c r="M120" s="5" t="s">
        <v>229</v>
      </c>
      <c r="N120" s="896" t="s">
        <v>1240</v>
      </c>
      <c r="P120" s="27"/>
    </row>
    <row r="121" spans="2:19" x14ac:dyDescent="0.25">
      <c r="B121" s="159"/>
      <c r="C121" s="158"/>
      <c r="D121" s="158"/>
      <c r="E121" s="67"/>
      <c r="F121" s="633"/>
      <c r="G121" s="633"/>
      <c r="H121" s="158"/>
      <c r="I121" s="241"/>
      <c r="L121" s="578">
        <f>C128</f>
        <v>900</v>
      </c>
      <c r="M121" s="579">
        <f>(L121/(1+'19 General Wages'!K19))/(1+'19 General Wages'!K19)</f>
        <v>838.63790208487592</v>
      </c>
      <c r="N121" s="580">
        <f>'19 General Wages'!$J$18*(1+'19 General Wages'!$L$18+'21 Sales Taxes'!$G$17)*(1+'14 Space Heating Detailed Costs'!$I$5)</f>
        <v>52.213680876217524</v>
      </c>
      <c r="P121" s="27"/>
      <c r="Q121" s="5" t="s">
        <v>1499</v>
      </c>
    </row>
    <row r="122" spans="2:19" ht="15" customHeight="1" x14ac:dyDescent="0.25">
      <c r="B122" s="159"/>
      <c r="C122" s="159"/>
      <c r="D122" s="158"/>
      <c r="E122" s="67"/>
      <c r="F122" s="633"/>
      <c r="G122" s="633"/>
      <c r="H122" s="158"/>
      <c r="I122" s="271" t="s">
        <v>632</v>
      </c>
      <c r="J122" s="488"/>
      <c r="L122" s="28"/>
      <c r="P122" s="27"/>
      <c r="Q122" s="1202" t="s">
        <v>1498</v>
      </c>
      <c r="R122" s="1095"/>
      <c r="S122" s="1095"/>
    </row>
    <row r="123" spans="2:19" ht="15" customHeight="1" x14ac:dyDescent="0.25">
      <c r="B123" s="158"/>
      <c r="C123" s="159"/>
      <c r="D123" s="159"/>
      <c r="E123" s="159"/>
      <c r="F123" s="158"/>
      <c r="G123" s="158"/>
      <c r="H123" s="158"/>
      <c r="I123" s="488"/>
      <c r="J123" s="488"/>
      <c r="L123" s="28"/>
      <c r="O123" s="489"/>
      <c r="P123" s="27"/>
      <c r="Q123" s="1202"/>
      <c r="R123" s="1095"/>
      <c r="S123" s="1095"/>
    </row>
    <row r="124" spans="2:19" x14ac:dyDescent="0.25">
      <c r="B124" s="158"/>
      <c r="C124" s="158"/>
      <c r="D124" s="158"/>
      <c r="E124" s="158"/>
      <c r="F124" s="158"/>
      <c r="G124" s="158"/>
      <c r="H124" s="158"/>
      <c r="L124" s="28"/>
      <c r="O124" s="490"/>
      <c r="P124" s="27"/>
      <c r="Q124" s="1202"/>
      <c r="R124" s="1095"/>
      <c r="S124" s="1095"/>
    </row>
    <row r="125" spans="2:19" ht="45" customHeight="1" x14ac:dyDescent="0.25">
      <c r="B125" s="159" t="s">
        <v>1426</v>
      </c>
      <c r="C125" s="159">
        <v>12</v>
      </c>
      <c r="D125" s="159"/>
      <c r="E125" s="159"/>
      <c r="F125" s="4"/>
      <c r="G125" s="4"/>
      <c r="H125" s="158"/>
      <c r="I125" s="22"/>
      <c r="L125" s="44"/>
      <c r="M125" s="306"/>
      <c r="N125" s="474" t="s">
        <v>1266</v>
      </c>
      <c r="O125" s="410" t="s">
        <v>541</v>
      </c>
      <c r="P125" s="27" t="s">
        <v>542</v>
      </c>
      <c r="Q125" s="32" t="s">
        <v>543</v>
      </c>
      <c r="R125" s="5" t="s">
        <v>544</v>
      </c>
    </row>
    <row r="126" spans="2:19" ht="15.75" x14ac:dyDescent="0.25">
      <c r="B126" s="158" t="s">
        <v>140</v>
      </c>
      <c r="C126" s="159"/>
      <c r="D126" s="159"/>
      <c r="E126" s="159"/>
      <c r="F126" s="4"/>
      <c r="G126" s="4"/>
      <c r="H126" s="158"/>
      <c r="I126" s="22"/>
      <c r="L126" s="28"/>
      <c r="M126" s="5" t="s">
        <v>41</v>
      </c>
      <c r="N126" s="521">
        <v>2.5</v>
      </c>
      <c r="O126" s="520">
        <f>($H$119*'19 General Wages'!K11)*(1+'21 Sales Taxes'!G10+'19 General Wages'!L11)*(1+'14 Space Heating Detailed Costs'!$I$5) + $F$119*(1+'21 Sales Taxes'!H10)*(1+'14 Space Heating Detailed Costs'!$I$6)</f>
        <v>1171.2854324814712</v>
      </c>
      <c r="P126" s="581">
        <f t="shared" ref="P126:P134" si="3">O126*N126</f>
        <v>2928.2135812036777</v>
      </c>
      <c r="Q126" s="582">
        <f t="shared" ref="Q126:Q134" si="4">$E$131*N126</f>
        <v>1848.7259407303923</v>
      </c>
      <c r="R126" s="582">
        <f t="shared" ref="R126:R134" si="5">Q126+P126</f>
        <v>4776.9395219340695</v>
      </c>
    </row>
    <row r="127" spans="2:19" x14ac:dyDescent="0.25">
      <c r="B127" s="158" t="s">
        <v>875</v>
      </c>
      <c r="C127" s="159"/>
      <c r="D127" s="159"/>
      <c r="E127" s="159"/>
      <c r="F127" s="4"/>
      <c r="G127" s="4"/>
      <c r="H127" s="158"/>
      <c r="I127" s="22"/>
      <c r="L127" s="28"/>
      <c r="M127" s="5" t="s">
        <v>20</v>
      </c>
      <c r="N127" s="522">
        <v>3</v>
      </c>
      <c r="O127" s="520">
        <f>($H$119*'19 General Wages'!K14)*(1+'21 Sales Taxes'!G13+'19 General Wages'!L14)*(1+'14 Space Heating Detailed Costs'!$I$5) + $F$119*(1+'21 Sales Taxes'!H13)*(1+'14 Space Heating Detailed Costs'!$I$6)</f>
        <v>1045.6613462854311</v>
      </c>
      <c r="P127" s="581">
        <f t="shared" si="3"/>
        <v>3136.9840388562934</v>
      </c>
      <c r="Q127" s="582">
        <f t="shared" si="4"/>
        <v>2218.4711288764711</v>
      </c>
      <c r="R127" s="582">
        <f t="shared" si="5"/>
        <v>5355.4551677327645</v>
      </c>
    </row>
    <row r="128" spans="2:19" ht="15.75" x14ac:dyDescent="0.25">
      <c r="B128" s="158" t="s">
        <v>1351</v>
      </c>
      <c r="C128" s="159">
        <v>900</v>
      </c>
      <c r="D128" s="159"/>
      <c r="E128" s="159"/>
      <c r="F128" s="4"/>
      <c r="G128" s="4"/>
      <c r="H128" s="158"/>
      <c r="I128" s="1200" t="s">
        <v>631</v>
      </c>
      <c r="L128" s="28"/>
      <c r="M128" s="5" t="s">
        <v>60</v>
      </c>
      <c r="N128" s="521">
        <v>3.5</v>
      </c>
      <c r="O128" s="520">
        <f>($H$119*'19 General Wages'!K10)*(1+'21 Sales Taxes'!G9+'19 General Wages'!L10)*(1+'14 Space Heating Detailed Costs'!$I$5) + $F$119*(1+'21 Sales Taxes'!H9)*(1+'14 Space Heating Detailed Costs'!$I$6)</f>
        <v>1201.6540977641102</v>
      </c>
      <c r="P128" s="581">
        <f t="shared" si="3"/>
        <v>4205.7893421743856</v>
      </c>
      <c r="Q128" s="582">
        <f t="shared" si="4"/>
        <v>2588.2163170225494</v>
      </c>
      <c r="R128" s="582">
        <f t="shared" si="5"/>
        <v>6794.0056591969351</v>
      </c>
    </row>
    <row r="129" spans="2:18" ht="43.15" customHeight="1" x14ac:dyDescent="0.25">
      <c r="B129" s="488" t="s">
        <v>876</v>
      </c>
      <c r="C129" s="159"/>
      <c r="D129" s="159"/>
      <c r="E129" s="159"/>
      <c r="F129" s="158"/>
      <c r="G129" s="158"/>
      <c r="H129" s="158"/>
      <c r="I129" s="1201"/>
      <c r="L129" s="28"/>
      <c r="M129" s="5" t="s">
        <v>25</v>
      </c>
      <c r="N129" s="522">
        <v>2.5</v>
      </c>
      <c r="O129" s="520">
        <f>($H$119*'19 General Wages'!K16)*(1+'21 Sales Taxes'!G15+'19 General Wages'!L16)*(1+'14 Space Heating Detailed Costs'!$I$5) + $F$119*(1+'21 Sales Taxes'!H15)*(1+'14 Space Heating Detailed Costs'!$I$6)</f>
        <v>1122.6028775027512</v>
      </c>
      <c r="P129" s="581">
        <f t="shared" si="3"/>
        <v>2806.5071937568782</v>
      </c>
      <c r="Q129" s="582">
        <f t="shared" si="4"/>
        <v>1848.7259407303923</v>
      </c>
      <c r="R129" s="582">
        <f t="shared" si="5"/>
        <v>4655.2331344872709</v>
      </c>
    </row>
    <row r="130" spans="2:18" ht="15.75" x14ac:dyDescent="0.25">
      <c r="B130" s="158" t="s">
        <v>1528</v>
      </c>
      <c r="C130" s="159" t="s">
        <v>375</v>
      </c>
      <c r="D130" s="616">
        <f>AVERAGE(327, 288)</f>
        <v>307.5</v>
      </c>
      <c r="E130" s="24" t="s">
        <v>1350</v>
      </c>
      <c r="F130" s="158"/>
      <c r="G130" s="158"/>
      <c r="H130" s="158"/>
      <c r="I130" s="1200" t="s">
        <v>632</v>
      </c>
      <c r="L130" s="28"/>
      <c r="M130" s="5" t="s">
        <v>32</v>
      </c>
      <c r="N130" s="521">
        <v>3.5</v>
      </c>
      <c r="O130" s="520">
        <f>($H$119*'19 General Wages'!K9)*(1+'21 Sales Taxes'!G8+'19 General Wages'!L9)*(1+'14 Space Heating Detailed Costs'!$I$5) + $F$119*(1+'21 Sales Taxes'!H8)*(1+'14 Space Heating Detailed Costs'!$I$6)</f>
        <v>1241.1426157340502</v>
      </c>
      <c r="P130" s="581">
        <f t="shared" si="3"/>
        <v>4343.9991550691757</v>
      </c>
      <c r="Q130" s="582">
        <f t="shared" si="4"/>
        <v>2588.2163170225494</v>
      </c>
      <c r="R130" s="582">
        <f t="shared" si="5"/>
        <v>6932.2154720917251</v>
      </c>
    </row>
    <row r="131" spans="2:18" ht="39" customHeight="1" x14ac:dyDescent="0.25">
      <c r="B131" s="158" t="s">
        <v>1529</v>
      </c>
      <c r="C131" s="634">
        <v>774</v>
      </c>
      <c r="D131" s="700">
        <f>E131</f>
        <v>739.49037629215695</v>
      </c>
      <c r="E131" s="616">
        <f>(C131/(1+'19 General Wages'!I$19))/(1+'19 General Wages'!I$19)</f>
        <v>739.49037629215695</v>
      </c>
      <c r="F131" s="158"/>
      <c r="G131" s="158"/>
      <c r="H131" s="158"/>
      <c r="I131" s="1201"/>
      <c r="L131" s="28"/>
      <c r="M131" s="5" t="s">
        <v>23</v>
      </c>
      <c r="N131" s="522">
        <v>2.5</v>
      </c>
      <c r="O131" s="520">
        <f>($H$119*'19 General Wages'!K17)*(1+'21 Sales Taxes'!G16+'19 General Wages'!L17)*(1+'14 Space Heating Detailed Costs'!$I$5) + $F$119*(1+'21 Sales Taxes'!H16)*(1+'14 Space Heating Detailed Costs'!$I$6)</f>
        <v>1264.8038403075616</v>
      </c>
      <c r="P131" s="581">
        <f t="shared" si="3"/>
        <v>3162.009600768904</v>
      </c>
      <c r="Q131" s="582">
        <f t="shared" si="4"/>
        <v>1848.7259407303923</v>
      </c>
      <c r="R131" s="582">
        <f t="shared" si="5"/>
        <v>5010.7355414992962</v>
      </c>
    </row>
    <row r="132" spans="2:18" x14ac:dyDescent="0.25">
      <c r="B132" s="1187" t="s">
        <v>1419</v>
      </c>
      <c r="C132" s="1187"/>
      <c r="D132" s="1187"/>
      <c r="E132" s="1187"/>
      <c r="F132" s="1187"/>
      <c r="G132" s="1187"/>
      <c r="H132" s="1187"/>
      <c r="I132" s="1187"/>
      <c r="J132" s="1187"/>
      <c r="K132" s="1188"/>
      <c r="L132" s="28"/>
      <c r="M132" s="5" t="s">
        <v>34</v>
      </c>
      <c r="N132" s="522">
        <v>3.5</v>
      </c>
      <c r="O132" s="520">
        <f>($H$119*'19 General Wages'!K13)*(1+'21 Sales Taxes'!G12+'19 General Wages'!L13)*(1+'14 Space Heating Detailed Costs'!$I$5) + $F$119*(1+'21 Sales Taxes'!H12)*(1+'14 Space Heating Detailed Costs'!$I$6)</f>
        <v>1069.7268561231931</v>
      </c>
      <c r="P132" s="581">
        <f t="shared" si="3"/>
        <v>3744.0439964311759</v>
      </c>
      <c r="Q132" s="582">
        <f t="shared" si="4"/>
        <v>2588.2163170225494</v>
      </c>
      <c r="R132" s="582">
        <f t="shared" si="5"/>
        <v>6332.2603134537258</v>
      </c>
    </row>
    <row r="133" spans="2:18" x14ac:dyDescent="0.25">
      <c r="B133" s="24" t="s">
        <v>298</v>
      </c>
      <c r="C133" s="24" t="s">
        <v>127</v>
      </c>
      <c r="D133" s="24" t="s">
        <v>1348</v>
      </c>
      <c r="E133" s="24" t="s">
        <v>1349</v>
      </c>
      <c r="F133" s="24" t="s">
        <v>296</v>
      </c>
      <c r="G133" s="24" t="s">
        <v>299</v>
      </c>
      <c r="H133" s="24" t="s">
        <v>870</v>
      </c>
      <c r="K133" s="50" t="s">
        <v>877</v>
      </c>
      <c r="L133" s="28"/>
      <c r="M133" s="5" t="s">
        <v>44</v>
      </c>
      <c r="N133" s="522">
        <v>2.5</v>
      </c>
      <c r="O133" s="520">
        <f>($H$119*'19 General Wages'!K12)*(1+'21 Sales Taxes'!G11+'19 General Wages'!L12)*(1+'14 Space Heating Detailed Costs'!$I$5) + $F$119*(1+'21 Sales Taxes'!H11)*(1+'14 Space Heating Detailed Costs'!$I$6)</f>
        <v>1188.3037374528703</v>
      </c>
      <c r="P133" s="581">
        <f t="shared" si="3"/>
        <v>2970.7593436321758</v>
      </c>
      <c r="Q133" s="582">
        <f t="shared" si="4"/>
        <v>1848.7259407303923</v>
      </c>
      <c r="R133" s="582">
        <f t="shared" si="5"/>
        <v>4819.4852843625686</v>
      </c>
    </row>
    <row r="134" spans="2:18" x14ac:dyDescent="0.25">
      <c r="B134" s="158" t="s">
        <v>382</v>
      </c>
      <c r="C134" s="635" t="s">
        <v>1249</v>
      </c>
      <c r="D134" s="616">
        <f>AVERAGE(1550,6300)</f>
        <v>3925</v>
      </c>
      <c r="E134" s="653">
        <f>(D134/(1+'19 General Wages'!$K$19))/(1+'19 General Wages'!$K$19)</f>
        <v>3657.3930729812641</v>
      </c>
      <c r="F134" s="698">
        <f>E134/$F$139</f>
        <v>79.574360088456032</v>
      </c>
      <c r="G134" s="636">
        <f>E140</f>
        <v>3123.2180021488462</v>
      </c>
      <c r="H134" s="628">
        <f>SUM(F134:F137)</f>
        <v>205.34239647284764</v>
      </c>
      <c r="I134" s="30" t="s">
        <v>934</v>
      </c>
      <c r="L134" s="29"/>
      <c r="M134" s="46" t="s">
        <v>27</v>
      </c>
      <c r="N134" s="523">
        <v>2.5</v>
      </c>
      <c r="O134" s="583">
        <f>($H$119*'19 General Wages'!K15)*(1+'21 Sales Taxes'!G14+'19 General Wages'!L15)*(1+'14 Space Heating Detailed Costs'!$I$5) + $F$119*(1+'21 Sales Taxes'!H14)*(1+'14 Space Heating Detailed Costs'!$I$6)</f>
        <v>1108.5055834419099</v>
      </c>
      <c r="P134" s="584">
        <f t="shared" si="3"/>
        <v>2771.2639586047749</v>
      </c>
      <c r="Q134" s="582">
        <f t="shared" si="4"/>
        <v>1848.7259407303923</v>
      </c>
      <c r="R134" s="582">
        <f t="shared" si="5"/>
        <v>4619.9898993351671</v>
      </c>
    </row>
    <row r="135" spans="2:18" x14ac:dyDescent="0.25">
      <c r="B135" s="158" t="s">
        <v>383</v>
      </c>
      <c r="C135" s="159" t="s">
        <v>1250</v>
      </c>
      <c r="D135" s="616">
        <f>AVERAGE(1000,3300)</f>
        <v>2150</v>
      </c>
      <c r="E135" s="653">
        <f>(D135/(1+'19 General Wages'!$K$19))/(1+'19 General Wages'!$K$19)</f>
        <v>2003.4127660916481</v>
      </c>
      <c r="F135" s="698">
        <f>E135/$F$139</f>
        <v>43.588502978389933</v>
      </c>
      <c r="G135" s="159"/>
      <c r="H135" s="159"/>
      <c r="I135" s="30" t="s">
        <v>386</v>
      </c>
    </row>
    <row r="136" spans="2:18" x14ac:dyDescent="0.25">
      <c r="B136" s="158" t="s">
        <v>1530</v>
      </c>
      <c r="C136" s="159" t="s">
        <v>1251</v>
      </c>
      <c r="D136" s="616">
        <f>AVERAGE(672,2155)</f>
        <v>1413.5</v>
      </c>
      <c r="E136" s="653">
        <f>(D136/(1+'19 General Wages'!$K$19))/(1+'19 General Wages'!$K$19)</f>
        <v>1317.1274162188579</v>
      </c>
      <c r="F136" s="698">
        <f>E136/$F$139</f>
        <v>28.656906493001941</v>
      </c>
      <c r="G136" s="159"/>
      <c r="H136" s="159"/>
    </row>
    <row r="137" spans="2:18" x14ac:dyDescent="0.25">
      <c r="B137" s="159" t="s">
        <v>1139</v>
      </c>
      <c r="C137" s="159" t="s">
        <v>1427</v>
      </c>
      <c r="D137" s="616">
        <f>(AVERAGE(400,1200))*3.3</f>
        <v>2640</v>
      </c>
      <c r="E137" s="653">
        <f>(D137/(1+'19 General Wages'!$K$19))/(1+'19 General Wages'!$K$19)</f>
        <v>2460.0045127823028</v>
      </c>
      <c r="F137" s="698">
        <f>E137/$F$139</f>
        <v>53.522626912999733</v>
      </c>
      <c r="G137" s="159"/>
      <c r="H137" s="159"/>
      <c r="I137" s="30" t="s">
        <v>1137</v>
      </c>
      <c r="L137" s="730" t="s">
        <v>1140</v>
      </c>
    </row>
    <row r="138" spans="2:18" x14ac:dyDescent="0.25">
      <c r="B138" s="158" t="s">
        <v>457</v>
      </c>
      <c r="C138" s="158" t="s">
        <v>425</v>
      </c>
      <c r="D138" s="653">
        <f>AVERAGE(100,650)</f>
        <v>375</v>
      </c>
      <c r="E138" s="159"/>
      <c r="F138" s="158" t="s">
        <v>387</v>
      </c>
      <c r="G138" s="158"/>
      <c r="H138" s="158"/>
      <c r="I138" s="30" t="s">
        <v>1138</v>
      </c>
      <c r="M138" s="252"/>
    </row>
    <row r="139" spans="2:18" x14ac:dyDescent="0.25">
      <c r="B139" s="158"/>
      <c r="C139" s="159"/>
      <c r="D139" s="616"/>
      <c r="E139" s="612"/>
      <c r="F139" s="616">
        <f>'19 General Wages'!$K$18*(1+'19 General Wages'!$L$18+'21 Sales Taxes'!$G$17)*(1+'14 Space Heating Detailed Costs'!$I$5)</f>
        <v>45.961953937369422</v>
      </c>
      <c r="G139" s="629"/>
      <c r="H139" s="158"/>
      <c r="I139" s="30" t="s">
        <v>1141</v>
      </c>
    </row>
    <row r="140" spans="2:18" x14ac:dyDescent="0.25">
      <c r="B140" s="158" t="s">
        <v>1531</v>
      </c>
      <c r="C140" s="411">
        <v>3351.74</v>
      </c>
      <c r="D140" s="616">
        <f>C140</f>
        <v>3351.74</v>
      </c>
      <c r="E140" s="616">
        <f>(D140/(1+'19 General Wages'!$K$19))/(1+'19 General Wages'!$K$19)</f>
        <v>3123.2180021488462</v>
      </c>
      <c r="F140" s="610"/>
      <c r="G140" s="629"/>
      <c r="H140" s="158"/>
      <c r="I140" s="30" t="s">
        <v>385</v>
      </c>
    </row>
    <row r="141" spans="2:18" x14ac:dyDescent="0.25">
      <c r="B141" s="1187" t="s">
        <v>1425</v>
      </c>
      <c r="C141" s="1187"/>
      <c r="D141" s="1187"/>
      <c r="E141" s="1187"/>
      <c r="F141" s="1187"/>
      <c r="G141" s="1187"/>
      <c r="H141" s="1187"/>
      <c r="I141" s="1187"/>
      <c r="J141" s="1187"/>
      <c r="K141" s="1188"/>
    </row>
    <row r="142" spans="2:18" ht="30" x14ac:dyDescent="0.25">
      <c r="B142" s="24" t="s">
        <v>298</v>
      </c>
      <c r="D142" s="24" t="s">
        <v>127</v>
      </c>
      <c r="E142" s="24" t="s">
        <v>239</v>
      </c>
      <c r="F142" s="24" t="s">
        <v>299</v>
      </c>
      <c r="G142" s="24"/>
      <c r="H142" s="24" t="s">
        <v>870</v>
      </c>
      <c r="K142" s="904" t="s">
        <v>144</v>
      </c>
    </row>
    <row r="143" spans="2:18" ht="45" x14ac:dyDescent="0.25">
      <c r="B143" s="159" t="s">
        <v>379</v>
      </c>
      <c r="C143" s="158"/>
      <c r="D143" s="158"/>
      <c r="E143" s="159"/>
      <c r="F143" s="311">
        <f>E145+E148</f>
        <v>201.5</v>
      </c>
      <c r="G143" s="282"/>
      <c r="H143" s="307">
        <f>E144+E147*E149</f>
        <v>13.799999999999999</v>
      </c>
      <c r="I143" s="466" t="s">
        <v>935</v>
      </c>
      <c r="K143" s="5" t="s">
        <v>1303</v>
      </c>
    </row>
    <row r="144" spans="2:18" x14ac:dyDescent="0.25">
      <c r="B144" s="158" t="s">
        <v>6</v>
      </c>
      <c r="C144" s="158"/>
      <c r="D144" s="158"/>
      <c r="E144" s="159">
        <v>2.4</v>
      </c>
      <c r="F144" s="159"/>
      <c r="G144" s="158"/>
      <c r="H144" s="158"/>
    </row>
    <row r="145" spans="2:11" x14ac:dyDescent="0.25">
      <c r="B145" s="158" t="s">
        <v>84</v>
      </c>
      <c r="C145" s="158"/>
      <c r="D145" s="158" t="s">
        <v>378</v>
      </c>
      <c r="E145" s="616">
        <f>(65+74)/2</f>
        <v>69.5</v>
      </c>
      <c r="F145" s="616">
        <f>E145</f>
        <v>69.5</v>
      </c>
      <c r="G145" s="158"/>
      <c r="H145" s="158"/>
    </row>
    <row r="146" spans="2:11" x14ac:dyDescent="0.25">
      <c r="B146" s="159" t="s">
        <v>1532</v>
      </c>
      <c r="C146" s="158"/>
      <c r="D146" s="158"/>
      <c r="E146" s="159"/>
      <c r="F146" s="159"/>
      <c r="G146" s="158"/>
      <c r="H146" s="158"/>
      <c r="I146" s="193" t="s">
        <v>380</v>
      </c>
    </row>
    <row r="147" spans="2:11" x14ac:dyDescent="0.25">
      <c r="B147" s="158" t="s">
        <v>6</v>
      </c>
      <c r="C147" s="158"/>
      <c r="D147" s="158" t="s">
        <v>1252</v>
      </c>
      <c r="E147" s="159">
        <v>1.9</v>
      </c>
      <c r="F147" s="159"/>
      <c r="G147" s="158"/>
      <c r="H147" s="158"/>
    </row>
    <row r="148" spans="2:11" x14ac:dyDescent="0.25">
      <c r="B148" s="158" t="s">
        <v>84</v>
      </c>
      <c r="C148" s="158"/>
      <c r="D148" s="158" t="s">
        <v>381</v>
      </c>
      <c r="E148" s="616">
        <f>(120+144)/2</f>
        <v>132</v>
      </c>
      <c r="F148" s="616">
        <f>E148</f>
        <v>132</v>
      </c>
      <c r="G148" s="158"/>
      <c r="H148" s="158"/>
    </row>
    <row r="149" spans="2:11" x14ac:dyDescent="0.25">
      <c r="B149" s="158" t="s">
        <v>1533</v>
      </c>
      <c r="C149" s="158"/>
      <c r="D149" s="158"/>
      <c r="E149" s="159">
        <v>6</v>
      </c>
      <c r="F149" s="194"/>
      <c r="G149" s="168"/>
      <c r="H149" s="168"/>
    </row>
    <row r="150" spans="2:11" x14ac:dyDescent="0.25">
      <c r="D150" s="168"/>
      <c r="E150" s="194"/>
      <c r="F150" s="194"/>
      <c r="G150" s="168"/>
      <c r="H150" s="168"/>
    </row>
    <row r="151" spans="2:11" x14ac:dyDescent="0.25">
      <c r="B151" s="1187" t="s">
        <v>1424</v>
      </c>
      <c r="C151" s="1187"/>
      <c r="D151" s="1187"/>
      <c r="E151" s="1187"/>
      <c r="F151" s="1187"/>
      <c r="G151" s="1187"/>
      <c r="H151" s="1187"/>
      <c r="I151" s="1187"/>
      <c r="J151" s="1187"/>
      <c r="K151" s="1188"/>
    </row>
    <row r="152" spans="2:11" x14ac:dyDescent="0.25">
      <c r="B152" s="24" t="s">
        <v>298</v>
      </c>
      <c r="C152" s="24" t="s">
        <v>127</v>
      </c>
      <c r="D152" s="24" t="s">
        <v>239</v>
      </c>
      <c r="E152" s="24" t="s">
        <v>299</v>
      </c>
      <c r="F152" s="24" t="s">
        <v>430</v>
      </c>
      <c r="H152" s="24"/>
    </row>
    <row r="153" spans="2:11" x14ac:dyDescent="0.25">
      <c r="B153" s="158" t="s">
        <v>429</v>
      </c>
      <c r="C153" s="159" t="s">
        <v>1345</v>
      </c>
      <c r="D153" s="616">
        <f>AVERAGE(2500,5500)</f>
        <v>4000</v>
      </c>
      <c r="E153" s="67">
        <v>0</v>
      </c>
      <c r="F153" s="616">
        <f>D153-F156</f>
        <v>4000</v>
      </c>
    </row>
    <row r="154" spans="2:11" x14ac:dyDescent="0.25">
      <c r="B154" s="158" t="s">
        <v>1534</v>
      </c>
      <c r="C154" s="159"/>
      <c r="D154" s="67"/>
      <c r="E154" s="67"/>
      <c r="F154" s="67"/>
    </row>
    <row r="155" spans="2:11" x14ac:dyDescent="0.25">
      <c r="B155" s="158"/>
      <c r="C155" s="158"/>
      <c r="D155" s="159"/>
      <c r="E155" s="67"/>
      <c r="F155" s="67"/>
      <c r="G155" s="67"/>
    </row>
    <row r="156" spans="2:11" x14ac:dyDescent="0.25">
      <c r="B156" s="1187" t="s">
        <v>1423</v>
      </c>
      <c r="C156" s="1187"/>
      <c r="D156" s="1187"/>
      <c r="E156" s="1187"/>
      <c r="F156" s="1187"/>
      <c r="G156" s="1187"/>
      <c r="H156" s="1187"/>
      <c r="I156" s="1187"/>
      <c r="J156" s="1187"/>
      <c r="K156" s="1188"/>
    </row>
    <row r="157" spans="2:11" x14ac:dyDescent="0.25">
      <c r="B157" s="63" t="s">
        <v>298</v>
      </c>
      <c r="C157" s="24" t="s">
        <v>127</v>
      </c>
      <c r="D157" s="24" t="s">
        <v>469</v>
      </c>
      <c r="E157" s="159"/>
      <c r="F157" s="159"/>
      <c r="G157" s="159"/>
    </row>
    <row r="158" spans="2:11" x14ac:dyDescent="0.25">
      <c r="B158" s="158" t="s">
        <v>1535</v>
      </c>
      <c r="C158" s="159" t="s">
        <v>636</v>
      </c>
      <c r="D158" s="616">
        <f>(360+740)/2</f>
        <v>550</v>
      </c>
      <c r="E158" s="158"/>
      <c r="F158" s="158"/>
      <c r="G158" s="168"/>
      <c r="I158" s="30" t="s">
        <v>637</v>
      </c>
    </row>
    <row r="159" spans="2:11" x14ac:dyDescent="0.25">
      <c r="B159" s="158" t="s">
        <v>1536</v>
      </c>
      <c r="C159" s="411">
        <v>2000</v>
      </c>
      <c r="D159" s="158"/>
      <c r="E159" s="158"/>
      <c r="F159" s="158"/>
      <c r="G159" s="168"/>
    </row>
    <row r="160" spans="2:11" x14ac:dyDescent="0.25">
      <c r="B160" s="158"/>
      <c r="C160" s="411"/>
      <c r="D160" s="158"/>
      <c r="E160" s="158"/>
      <c r="F160" s="158"/>
      <c r="G160" s="168"/>
    </row>
    <row r="161" spans="2:11" x14ac:dyDescent="0.25">
      <c r="B161" s="1187" t="s">
        <v>643</v>
      </c>
      <c r="C161" s="1187"/>
      <c r="D161" s="1187"/>
      <c r="E161" s="1187"/>
      <c r="F161" s="1187"/>
      <c r="G161" s="1187"/>
      <c r="H161" s="1187"/>
      <c r="I161" s="1187"/>
      <c r="J161" s="1187"/>
      <c r="K161" s="1188"/>
    </row>
    <row r="162" spans="2:11" x14ac:dyDescent="0.25">
      <c r="B162" s="63" t="s">
        <v>298</v>
      </c>
      <c r="C162" s="24" t="s">
        <v>127</v>
      </c>
      <c r="D162" s="24" t="s">
        <v>239</v>
      </c>
    </row>
    <row r="163" spans="2:11" x14ac:dyDescent="0.25">
      <c r="B163" s="158" t="s">
        <v>1537</v>
      </c>
      <c r="C163" s="159" t="s">
        <v>1253</v>
      </c>
      <c r="D163" s="618">
        <f>(900+3800)/2</f>
        <v>2350</v>
      </c>
    </row>
    <row r="164" spans="2:11" x14ac:dyDescent="0.25">
      <c r="C164" s="159"/>
      <c r="D164" s="493"/>
    </row>
    <row r="165" spans="2:11" x14ac:dyDescent="0.25">
      <c r="B165" s="1187" t="s">
        <v>1420</v>
      </c>
      <c r="C165" s="1187"/>
      <c r="D165" s="1187"/>
      <c r="E165" s="1187"/>
      <c r="F165" s="1187"/>
      <c r="G165" s="1187"/>
      <c r="H165" s="1187"/>
      <c r="I165" s="1187"/>
      <c r="J165" s="1187"/>
      <c r="K165" s="1188"/>
    </row>
    <row r="166" spans="2:11" x14ac:dyDescent="0.25">
      <c r="B166" s="24" t="s">
        <v>298</v>
      </c>
      <c r="C166" s="24" t="s">
        <v>127</v>
      </c>
      <c r="D166" s="24" t="s">
        <v>473</v>
      </c>
      <c r="E166" s="24" t="s">
        <v>239</v>
      </c>
      <c r="F166" s="24" t="s">
        <v>299</v>
      </c>
      <c r="G166" s="24" t="s">
        <v>870</v>
      </c>
    </row>
    <row r="167" spans="2:11" x14ac:dyDescent="0.25">
      <c r="B167" s="158" t="s">
        <v>84</v>
      </c>
      <c r="C167" s="159" t="s">
        <v>1254</v>
      </c>
      <c r="D167" s="159"/>
      <c r="E167" s="616">
        <f>(300+3500)/2</f>
        <v>1900</v>
      </c>
      <c r="F167" s="616">
        <f>E167</f>
        <v>1900</v>
      </c>
      <c r="G167" s="629">
        <f>E168/D168</f>
        <v>11.727414584336275</v>
      </c>
      <c r="I167" s="30" t="s">
        <v>646</v>
      </c>
    </row>
    <row r="168" spans="2:11" x14ac:dyDescent="0.25">
      <c r="B168" s="158" t="s">
        <v>471</v>
      </c>
      <c r="C168" s="159" t="s">
        <v>645</v>
      </c>
      <c r="D168" s="616">
        <f>'19 General Wages'!K18*(1+'19 General Wages'!L18+'21 Sales Taxes'!G18)*(1+'14 Space Heating Detailed Costs'!I5)</f>
        <v>44.766900344873662</v>
      </c>
      <c r="E168" s="616">
        <f>(250+800)/2</f>
        <v>525</v>
      </c>
      <c r="F168" s="159"/>
      <c r="G168" s="159"/>
    </row>
    <row r="169" spans="2:11" x14ac:dyDescent="0.25">
      <c r="D169" s="252"/>
      <c r="E169" s="19"/>
    </row>
    <row r="170" spans="2:11" x14ac:dyDescent="0.25">
      <c r="B170" s="1187" t="s">
        <v>1421</v>
      </c>
      <c r="C170" s="1187"/>
      <c r="D170" s="1187"/>
      <c r="E170" s="1187"/>
      <c r="F170" s="1187"/>
      <c r="G170" s="1187"/>
      <c r="H170" s="1187"/>
      <c r="I170" s="1187"/>
      <c r="J170" s="1187"/>
      <c r="K170" s="1188"/>
    </row>
    <row r="171" spans="2:11" x14ac:dyDescent="0.25">
      <c r="C171" s="24" t="s">
        <v>127</v>
      </c>
      <c r="D171" s="24" t="s">
        <v>833</v>
      </c>
    </row>
    <row r="172" spans="2:11" x14ac:dyDescent="0.25">
      <c r="C172" s="158" t="s">
        <v>1255</v>
      </c>
      <c r="D172" s="616">
        <f>(800+2000)/2</f>
        <v>1400</v>
      </c>
    </row>
    <row r="174" spans="2:11" x14ac:dyDescent="0.25">
      <c r="B174" s="1187" t="s">
        <v>1422</v>
      </c>
      <c r="C174" s="1187"/>
      <c r="D174" s="1187"/>
      <c r="E174" s="1187"/>
      <c r="F174" s="1187"/>
      <c r="G174" s="1187"/>
      <c r="H174" s="1187"/>
      <c r="I174" s="1187"/>
      <c r="J174" s="1187"/>
      <c r="K174" s="1188"/>
    </row>
    <row r="175" spans="2:11" x14ac:dyDescent="0.25">
      <c r="B175" s="24" t="s">
        <v>298</v>
      </c>
      <c r="C175" s="24" t="s">
        <v>127</v>
      </c>
      <c r="D175" s="24" t="s">
        <v>239</v>
      </c>
    </row>
    <row r="176" spans="2:11" x14ac:dyDescent="0.25">
      <c r="B176" s="158" t="s">
        <v>973</v>
      </c>
      <c r="C176" s="159" t="s">
        <v>1256</v>
      </c>
      <c r="D176" s="699">
        <f>(600+1200)/2 + (50+175)/2</f>
        <v>1012.5</v>
      </c>
      <c r="I176" s="30" t="s">
        <v>976</v>
      </c>
    </row>
    <row r="177" spans="2:3" x14ac:dyDescent="0.25">
      <c r="B177" s="158" t="s">
        <v>974</v>
      </c>
      <c r="C177" s="159" t="s">
        <v>1257</v>
      </c>
    </row>
  </sheetData>
  <mergeCells count="33">
    <mergeCell ref="L1:L3"/>
    <mergeCell ref="A1:B2"/>
    <mergeCell ref="L118:P118"/>
    <mergeCell ref="M89:R89"/>
    <mergeCell ref="L119:N119"/>
    <mergeCell ref="B91:L91"/>
    <mergeCell ref="B98:L98"/>
    <mergeCell ref="B105:L105"/>
    <mergeCell ref="B117:K117"/>
    <mergeCell ref="M35:P38"/>
    <mergeCell ref="B4:E4"/>
    <mergeCell ref="G8:J8"/>
    <mergeCell ref="Q122:S124"/>
    <mergeCell ref="B165:K165"/>
    <mergeCell ref="B161:K161"/>
    <mergeCell ref="B156:K156"/>
    <mergeCell ref="B132:K132"/>
    <mergeCell ref="B170:K170"/>
    <mergeCell ref="G4:I4"/>
    <mergeCell ref="B174:K174"/>
    <mergeCell ref="M32:P32"/>
    <mergeCell ref="B74:L74"/>
    <mergeCell ref="B27:L27"/>
    <mergeCell ref="B31:L31"/>
    <mergeCell ref="B40:L40"/>
    <mergeCell ref="B49:L49"/>
    <mergeCell ref="B57:L57"/>
    <mergeCell ref="M39:O39"/>
    <mergeCell ref="O57:T57"/>
    <mergeCell ref="I128:I129"/>
    <mergeCell ref="I130:I131"/>
    <mergeCell ref="B141:K141"/>
    <mergeCell ref="B151:K151"/>
  </mergeCells>
  <phoneticPr fontId="3" type="noConversion"/>
  <conditionalFormatting sqref="D33">
    <cfRule type="expression" dxfId="9" priority="3">
      <formula>_xlfn.ISFORMULA(A29:V214)</formula>
    </cfRule>
  </conditionalFormatting>
  <conditionalFormatting sqref="M89">
    <cfRule type="expression" dxfId="8" priority="1">
      <formula>"ISFORMULA"</formula>
    </cfRule>
  </conditionalFormatting>
  <conditionalFormatting sqref="O57 N58 Q58:T58">
    <cfRule type="expression" dxfId="7" priority="2">
      <formula>"ISFORMULA"</formula>
    </cfRule>
  </conditionalFormatting>
  <hyperlinks>
    <hyperlink ref="H107" r:id="rId1" xr:uid="{197BA52E-6B4B-4D28-912E-2057A4AFC516}"/>
    <hyperlink ref="H110" r:id="rId2" display="https://hvacdirect.com/" xr:uid="{26D0005D-4AF6-4FBB-9405-28253ADA9A21}"/>
    <hyperlink ref="H37" r:id="rId3" xr:uid="{AE7CFE67-AA96-4359-AB55-5452F3C5186B}"/>
    <hyperlink ref="H35" r:id="rId4" xr:uid="{98FD30FA-B7EB-40B3-9DD8-CA146EDE9800}"/>
    <hyperlink ref="H33" r:id="rId5" xr:uid="{3F1FC17F-390F-48B2-BC19-95A22640C987}"/>
    <hyperlink ref="H34" r:id="rId6" xr:uid="{23ACA2A5-04EB-4077-B9E6-548D882372ED}"/>
    <hyperlink ref="H39" location="'14 Space Heating Detailed Costs'!M31" display="Click Here for New Electric Circuit Installation Note 1" xr:uid="{D5DB98F8-F775-47FF-9669-3E2FC72C3318}"/>
    <hyperlink ref="H42" r:id="rId7" xr:uid="{3571FC02-1381-4CBB-B0D1-F91F1FE997CC}"/>
    <hyperlink ref="H43" r:id="rId8" xr:uid="{4B2E71F2-35CC-48A2-B853-3A36568F5A50}"/>
    <hyperlink ref="H46" r:id="rId9" xr:uid="{20652787-7BBD-42BD-A688-D4332ECF0970}"/>
    <hyperlink ref="H54" r:id="rId10" xr:uid="{37C5858E-AE4F-4CD1-ACE0-FED09C081752}"/>
    <hyperlink ref="H55" r:id="rId11" xr:uid="{7E215772-5485-439D-ACAC-FA69DB799D3C}"/>
    <hyperlink ref="H53" r:id="rId12" xr:uid="{4F5349D7-B04F-4CF1-A014-D5310BBE24F9}"/>
    <hyperlink ref="H93" r:id="rId13" location="radiator-heating-system-cost" xr:uid="{DBCEDB4B-F242-4AB6-BB00-25EBD461DBB1}"/>
    <hyperlink ref="Q34" r:id="rId14" location=":~:text=On%20the%20other%20hand%2C%20if,speak%20with%20an%20experienced%20electrician" xr:uid="{DE76EFB6-5481-4648-8669-2A9A80463D1C}"/>
    <hyperlink ref="Q33" r:id="rId15" location="dedicated-circuit-installation-cost-breakdown" xr:uid="{BE81BD12-306A-4909-997C-F2591446D7A4}"/>
    <hyperlink ref="J4" location="'26 Markup Notes'!A1" display="Assume: No Taxes on Markup" xr:uid="{1D47169F-C788-45C7-BAEE-9D9047549678}"/>
    <hyperlink ref="H38" r:id="rId16" xr:uid="{E4496DE9-1EAB-4263-9E57-E7014D3337CC}"/>
    <hyperlink ref="H77" r:id="rId17" xr:uid="{30AEFAB1-5BEB-47C7-8532-2DD1BEE51EA6}"/>
    <hyperlink ref="H85" r:id="rId18" xr:uid="{66CDE572-BB6F-416B-BC12-5B066A5B0745}"/>
    <hyperlink ref="H60" r:id="rId19" xr:uid="{5621853C-F64A-4010-B41F-FC8FAB8D8ED2}"/>
    <hyperlink ref="N125" location="'24 Mini-Split Air Handler Notes'!A35" display="# mini split air handlers per division" xr:uid="{1225AEF6-BA52-4272-850F-09901FB5A5E7}"/>
    <hyperlink ref="I146" r:id="rId20" xr:uid="{3732DDFF-A842-4D34-AC85-3D5D0EEEFE24}"/>
    <hyperlink ref="K8" location="'15 Space Heating Demo &amp; Permit'!A1" display="Sources: See &quot;Space Heating Demo and Permit&quot; worksheet" xr:uid="{AB402DAC-A045-4394-A00A-04F56E28C462}"/>
    <hyperlink ref="I135" r:id="rId21" xr:uid="{B485ADF5-1622-4D3D-9A03-35DC1D5CB5CC}"/>
    <hyperlink ref="C134" location="'15 Space Heating Detailed Costs'!K159" display="$1,550–$6,300" xr:uid="{248B65E4-4D52-49B7-8899-EC3A5DCD226F}"/>
    <hyperlink ref="I140" r:id="rId22" xr:uid="{71829A25-5CE0-4826-A923-F4AC03306AF6}"/>
    <hyperlink ref="K19" r:id="rId23" xr:uid="{5FC18F03-7E7C-47E9-8E19-B3C3C35ACF71}"/>
    <hyperlink ref="K10" r:id="rId24" xr:uid="{2C2D63BA-DDB7-4647-82AB-C2F3A096876F}"/>
    <hyperlink ref="K11" r:id="rId25" xr:uid="{7E482F71-5FB8-488C-8CE8-67958076EE34}"/>
    <hyperlink ref="K14" r:id="rId26" xr:uid="{F1BA9B2F-CF36-468C-A456-AFF278ADD681}"/>
    <hyperlink ref="K15" r:id="rId27" xr:uid="{55381B0F-71F8-4D78-9B05-A2FCF2A343D0}"/>
    <hyperlink ref="K17" r:id="rId28" xr:uid="{145AB644-6EBB-4A68-A2C0-42CB3C3DB477}"/>
    <hyperlink ref="K18" r:id="rId29" xr:uid="{8861036D-2501-45CF-905A-FFEE784B45CF}"/>
    <hyperlink ref="K20" r:id="rId30" xr:uid="{96C08D75-1AD3-4ACD-B383-51A81A19A062}"/>
    <hyperlink ref="O56" location="'23 Venting Notes'!A6" display="Click Here for Venting  Cost Notes" xr:uid="{9DA4A508-431E-48F2-9DE0-292C53A0508F}"/>
    <hyperlink ref="H100" r:id="rId31" xr:uid="{897B687B-AF0E-488E-8373-F96CE5B36CB2}"/>
    <hyperlink ref="H47" location="'14 Space Heating Detailed Costs'!M31" display="Click Here for New Electric Circuit Installation Note 1" xr:uid="{B29A3BA8-D923-47D7-8497-5D2AFA20334F}"/>
    <hyperlink ref="H86" r:id="rId32" xr:uid="{54B31865-313C-4150-9928-185A5658E46F}"/>
    <hyperlink ref="H94" r:id="rId33" location="radiator-heating-system-cost" xr:uid="{452E9EE9-E2F4-4793-A7C8-7CE958BD7732}"/>
    <hyperlink ref="H95" r:id="rId34" xr:uid="{E3167AA9-9402-425B-A5E6-E5D0F6AAF5F3}"/>
    <hyperlink ref="H52" r:id="rId35" xr:uid="{377DB012-70DC-4E7D-8337-DDD3D0806783}"/>
    <hyperlink ref="H51" r:id="rId36" xr:uid="{30563434-82B2-4B84-BC71-046B4DDA7C27}"/>
    <hyperlink ref="I119" r:id="rId37" xr:uid="{66BCC91A-BC5F-4293-A157-DA5885D17E56}"/>
    <hyperlink ref="I122" r:id="rId38" xr:uid="{5089B5AE-0097-47DE-86E4-34449EEA4205}"/>
    <hyperlink ref="I128" r:id="rId39" xr:uid="{CBAC974E-A9A1-48CA-8886-1ED47B71239E}"/>
    <hyperlink ref="I130" r:id="rId40" xr:uid="{8F4D36F1-402E-467C-BAA8-60BCE3317A23}"/>
    <hyperlink ref="I158" r:id="rId41" xr:uid="{CE4606E8-BD8E-4FC4-9546-115C3A215810}"/>
    <hyperlink ref="H101" r:id="rId42" xr:uid="{8306DE43-4AD0-4731-BE3F-10A95B55CB4E}"/>
    <hyperlink ref="I167" r:id="rId43" xr:uid="{4DD3D0A0-A5E0-4CB3-B275-9DFF0126733D}"/>
    <hyperlink ref="H76" r:id="rId44" xr:uid="{622B7B33-F3F5-4620-84CA-8BCEF855A2B2}"/>
    <hyperlink ref="K12" r:id="rId45" xr:uid="{ABC5F6AC-B0F8-4D72-8C19-DCA9DF2AA97B}"/>
    <hyperlink ref="K13" r:id="rId46" xr:uid="{523A4AF4-E90E-4E40-A63A-437B39533720}"/>
    <hyperlink ref="K16" r:id="rId47" xr:uid="{D04BA4F8-425F-43DA-AAC3-09CCC5CBF525}"/>
    <hyperlink ref="H59" r:id="rId48" xr:uid="{093D886F-5B56-4654-AC92-4F57EB2835A8}"/>
    <hyperlink ref="H61" r:id="rId49" xr:uid="{8FD06E81-5E67-44BE-8B3A-901FE28FC2ED}"/>
    <hyperlink ref="H62" r:id="rId50" xr:uid="{30047454-E261-4BD8-AE75-6C8086AD71CA}"/>
    <hyperlink ref="H111" r:id="rId51" xr:uid="{F788E08D-F32E-488C-A74F-B1A61A1937BA}"/>
    <hyperlink ref="H112" r:id="rId52" xr:uid="{1FDE6C6A-323E-4904-A9C9-9B09E1FD813E}"/>
    <hyperlink ref="I134" r:id="rId53" xr:uid="{7D5450A9-FCA8-47C3-A382-1B4D41C181C0}"/>
    <hyperlink ref="I143" r:id="rId54" xr:uid="{47318F23-1D82-4E9E-8F20-D0488D26AD7A}"/>
    <hyperlink ref="F22" r:id="rId55" xr:uid="{D32CCD20-C85F-478D-947B-B5E5DBE9C885}"/>
    <hyperlink ref="I176" r:id="rId56" xr:uid="{CD298B66-58F2-4457-9592-12DAA1A69531}"/>
    <hyperlink ref="I137" r:id="rId57" xr:uid="{2DC6CDA1-6509-44BE-BCE0-FDE21955274B}"/>
    <hyperlink ref="I138" r:id="rId58" xr:uid="{9A86EE70-EE06-4941-8937-A65AA90211B6}"/>
    <hyperlink ref="I139" r:id="rId59" xr:uid="{AA602BB1-83C0-4E70-A606-32F45F2746A8}"/>
    <hyperlink ref="R61:R67" location="'14 Space Heating Detailed Costs'!O69" display="*" xr:uid="{1221AA33-019B-4772-B7CE-9B4B81893961}"/>
    <hyperlink ref="T61:T67" location="'14 Space Heating Detailed Costs'!O69" display="*" xr:uid="{E669F2FF-A1A7-4152-A6E1-E5CC46A53A3B}"/>
    <hyperlink ref="H73" r:id="rId60" xr:uid="{860A3EFB-ACCD-4E5D-82EA-6E2AA9B127D0}"/>
    <hyperlink ref="H44" r:id="rId61" xr:uid="{FE39E537-2518-468B-B0BC-3CFD42247904}"/>
    <hyperlink ref="H45" r:id="rId62" xr:uid="{E0CCB013-9855-4878-BD1D-21C367540EDC}"/>
    <hyperlink ref="N88" r:id="rId63" xr:uid="{7999175A-2E25-437B-B28D-9C795A8573B7}"/>
    <hyperlink ref="H36" r:id="rId64" xr:uid="{666CE9AD-239A-49FC-8942-091B661D1ABE}"/>
  </hyperlinks>
  <pageMargins left="0.7" right="0.7" top="0.75" bottom="0.75" header="0.3" footer="0.3"/>
  <pageSetup orientation="portrait" r:id="rId65"/>
  <ignoredErrors>
    <ignoredError sqref="J14 S68" formula="1"/>
  </ignoredErrors>
  <drawing r:id="rId66"/>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A3DCB-C6B7-4CA9-9096-A228D1FC92DC}">
  <sheetPr codeName="Sheet8">
    <tabColor rgb="FFF46F3A"/>
  </sheetPr>
  <dimension ref="A1:Y138"/>
  <sheetViews>
    <sheetView zoomScale="85" zoomScaleNormal="85" workbookViewId="0">
      <selection sqref="A1:A2"/>
    </sheetView>
  </sheetViews>
  <sheetFormatPr defaultColWidth="9.140625" defaultRowHeight="15" x14ac:dyDescent="0.25"/>
  <cols>
    <col min="1" max="1" width="93.140625" style="5" customWidth="1"/>
    <col min="2" max="3" width="22.85546875" style="5" customWidth="1"/>
    <col min="4" max="4" width="27.42578125" style="67" bestFit="1" customWidth="1"/>
    <col min="5" max="5" width="18" style="265" customWidth="1"/>
    <col min="6" max="6" width="32.7109375" style="41" customWidth="1"/>
    <col min="7" max="7" width="22.5703125" style="41" customWidth="1"/>
    <col min="8" max="8" width="34.28515625" style="5" customWidth="1"/>
    <col min="9" max="9" width="16" style="5" customWidth="1"/>
    <col min="10" max="17" width="9.140625" style="5"/>
    <col min="18" max="18" width="21.28515625" style="5" customWidth="1"/>
    <col min="19" max="19" width="13.85546875" style="5" customWidth="1"/>
    <col min="20" max="16384" width="9.140625" style="5"/>
  </cols>
  <sheetData>
    <row r="1" spans="1:25" ht="18.75" customHeight="1" x14ac:dyDescent="0.25">
      <c r="A1" s="1203" t="s">
        <v>276</v>
      </c>
      <c r="B1" s="1072"/>
      <c r="C1" s="1072"/>
      <c r="D1" s="603"/>
      <c r="E1" s="400" t="s">
        <v>1500</v>
      </c>
      <c r="G1" s="19"/>
      <c r="I1" s="41"/>
      <c r="J1" s="41"/>
      <c r="R1" s="1218" t="s">
        <v>516</v>
      </c>
    </row>
    <row r="2" spans="1:25" ht="15" customHeight="1" x14ac:dyDescent="0.25">
      <c r="A2" s="1203"/>
      <c r="B2" s="359"/>
      <c r="C2" s="359"/>
      <c r="E2" s="493"/>
      <c r="R2" s="1219"/>
      <c r="V2" s="20"/>
      <c r="Y2" s="20"/>
    </row>
    <row r="3" spans="1:25" ht="29.25" customHeight="1" thickBot="1" x14ac:dyDescent="0.4">
      <c r="A3" s="1073" t="s">
        <v>1362</v>
      </c>
      <c r="B3" s="68"/>
      <c r="C3" s="68"/>
      <c r="D3" s="604"/>
      <c r="E3" s="493"/>
      <c r="F3" s="1224" t="s">
        <v>521</v>
      </c>
      <c r="G3" s="1225"/>
      <c r="H3" s="1225"/>
      <c r="I3" s="1226"/>
      <c r="R3" s="1220"/>
    </row>
    <row r="4" spans="1:25" ht="33.75" customHeight="1" x14ac:dyDescent="0.25">
      <c r="A4" s="466" t="s">
        <v>1543</v>
      </c>
      <c r="B4" s="466"/>
      <c r="C4" s="466"/>
      <c r="D4" s="605"/>
      <c r="E4" s="493"/>
      <c r="F4" s="1227" t="s">
        <v>522</v>
      </c>
      <c r="G4" s="1228"/>
      <c r="H4" s="1228"/>
      <c r="I4" s="1229"/>
    </row>
    <row r="5" spans="1:25" ht="42.75" x14ac:dyDescent="0.25">
      <c r="A5" s="8" t="s">
        <v>1542</v>
      </c>
      <c r="B5" s="24" t="s">
        <v>1197</v>
      </c>
      <c r="C5" s="24" t="s">
        <v>1198</v>
      </c>
      <c r="D5" s="242" t="s">
        <v>1199</v>
      </c>
      <c r="E5" s="242"/>
      <c r="F5" s="195" t="s">
        <v>523</v>
      </c>
      <c r="G5" s="196" t="s">
        <v>337</v>
      </c>
      <c r="H5" s="195" t="s">
        <v>519</v>
      </c>
      <c r="I5" s="197"/>
    </row>
    <row r="6" spans="1:25" ht="15.75" x14ac:dyDescent="0.25">
      <c r="A6" s="8"/>
      <c r="B6" s="158"/>
      <c r="C6" s="158"/>
      <c r="E6" s="493"/>
      <c r="F6" s="185"/>
      <c r="G6" s="186"/>
      <c r="H6" s="187"/>
      <c r="I6" s="188"/>
      <c r="V6" s="25"/>
    </row>
    <row r="7" spans="1:25" ht="15.75" x14ac:dyDescent="0.25">
      <c r="A7" s="11" t="s">
        <v>393</v>
      </c>
      <c r="B7" s="24"/>
      <c r="C7" s="24"/>
      <c r="E7" s="24"/>
      <c r="F7" s="1230" t="s">
        <v>339</v>
      </c>
      <c r="G7" s="1231"/>
      <c r="H7" s="1231"/>
      <c r="I7" s="1232"/>
      <c r="J7" s="15" t="s">
        <v>171</v>
      </c>
      <c r="V7" s="20"/>
      <c r="X7" s="25"/>
    </row>
    <row r="8" spans="1:25" ht="15.75" x14ac:dyDescent="0.25">
      <c r="A8" s="17" t="s">
        <v>391</v>
      </c>
      <c r="B8" s="411">
        <v>150</v>
      </c>
      <c r="C8" s="411">
        <v>500</v>
      </c>
      <c r="E8" s="595"/>
      <c r="F8" s="585">
        <f>$D$11*'19 General Wages'!T9</f>
        <v>406.97022004178217</v>
      </c>
      <c r="H8" s="954" t="s">
        <v>32</v>
      </c>
      <c r="I8" s="339"/>
      <c r="J8" s="169" t="s">
        <v>389</v>
      </c>
      <c r="V8" s="25"/>
    </row>
    <row r="9" spans="1:25" ht="15.75" x14ac:dyDescent="0.25">
      <c r="A9" s="525" t="s">
        <v>1544</v>
      </c>
      <c r="B9" s="788">
        <v>60</v>
      </c>
      <c r="C9" s="788">
        <v>330</v>
      </c>
      <c r="D9" s="606"/>
      <c r="E9" s="595"/>
      <c r="F9" s="585">
        <f>$D$11*'19 General Wages'!T10</f>
        <v>388.26030512108861</v>
      </c>
      <c r="H9" s="954" t="s">
        <v>60</v>
      </c>
      <c r="I9" s="256"/>
      <c r="J9" s="169" t="s">
        <v>390</v>
      </c>
      <c r="Q9" s="20"/>
      <c r="V9" s="162"/>
    </row>
    <row r="10" spans="1:25" ht="15.75" x14ac:dyDescent="0.25">
      <c r="A10" s="18"/>
      <c r="B10" s="411">
        <v>500</v>
      </c>
      <c r="C10" s="411">
        <v>600</v>
      </c>
      <c r="E10" s="595"/>
      <c r="F10" s="585">
        <f>$D$11*'19 General Wages'!T11</f>
        <v>364.85550209022432</v>
      </c>
      <c r="H10" s="954" t="s">
        <v>41</v>
      </c>
      <c r="I10" s="255"/>
      <c r="J10" s="169" t="s">
        <v>1501</v>
      </c>
      <c r="Q10" s="14"/>
      <c r="V10" s="20"/>
      <c r="X10" s="25"/>
    </row>
    <row r="11" spans="1:25" ht="15.75" x14ac:dyDescent="0.25">
      <c r="A11" s="18"/>
      <c r="B11" s="159"/>
      <c r="C11" s="159"/>
      <c r="D11" s="700">
        <f>AVERAGE(B8:C10)</f>
        <v>356.66666666666669</v>
      </c>
      <c r="E11" s="607"/>
      <c r="F11" s="585">
        <f>$D$11*'19 General Wages'!T12</f>
        <v>365.39428224446436</v>
      </c>
      <c r="H11" s="954" t="s">
        <v>44</v>
      </c>
      <c r="I11" s="255"/>
      <c r="V11" s="25"/>
    </row>
    <row r="12" spans="1:25" ht="15.75" x14ac:dyDescent="0.25">
      <c r="A12" s="527" t="s">
        <v>1545</v>
      </c>
      <c r="B12" s="789"/>
      <c r="C12" s="789"/>
      <c r="D12" s="700"/>
      <c r="E12" s="785"/>
      <c r="F12" s="585">
        <f>$D$11*'19 General Wages'!T13</f>
        <v>327.26949304621826</v>
      </c>
      <c r="H12" s="954" t="s">
        <v>34</v>
      </c>
      <c r="I12" s="255"/>
      <c r="V12" s="162"/>
    </row>
    <row r="13" spans="1:25" ht="15.75" x14ac:dyDescent="0.25">
      <c r="A13" s="8"/>
      <c r="B13" s="158"/>
      <c r="C13" s="158"/>
      <c r="D13" s="700"/>
      <c r="E13" s="607"/>
      <c r="F13" s="585">
        <f>$D$11*'19 General Wages'!T14</f>
        <v>303.13131662988422</v>
      </c>
      <c r="H13" s="954" t="s">
        <v>20</v>
      </c>
      <c r="I13" s="255"/>
      <c r="V13" s="25"/>
    </row>
    <row r="14" spans="1:25" ht="15.75" x14ac:dyDescent="0.25">
      <c r="A14" s="8"/>
      <c r="B14" s="158"/>
      <c r="C14" s="158"/>
      <c r="D14" s="700"/>
      <c r="E14" s="607"/>
      <c r="F14" s="585">
        <f>$D$11*'19 General Wages'!T15</f>
        <v>322.06129066534248</v>
      </c>
      <c r="H14" s="954" t="s">
        <v>27</v>
      </c>
      <c r="I14" s="255"/>
      <c r="V14" s="25"/>
    </row>
    <row r="15" spans="1:25" ht="15.75" x14ac:dyDescent="0.25">
      <c r="A15" s="17"/>
      <c r="B15" s="24"/>
      <c r="C15" s="24"/>
      <c r="D15" s="700"/>
      <c r="E15" s="785"/>
      <c r="F15" s="585">
        <f>$D$11*'19 General Wages'!T16</f>
        <v>341.03974103537661</v>
      </c>
      <c r="H15" s="954" t="s">
        <v>25</v>
      </c>
      <c r="I15" s="255"/>
      <c r="V15" s="162"/>
    </row>
    <row r="16" spans="1:25" ht="15.75" x14ac:dyDescent="0.25">
      <c r="A16" s="17"/>
      <c r="B16" s="24"/>
      <c r="C16" s="24"/>
      <c r="D16" s="700"/>
      <c r="E16" s="785"/>
      <c r="F16" s="585">
        <f>$D$11*'19 General Wages'!T17</f>
        <v>419.24716691624775</v>
      </c>
      <c r="H16" s="954" t="s">
        <v>23</v>
      </c>
      <c r="I16" s="255"/>
      <c r="V16" s="25"/>
    </row>
    <row r="17" spans="1:22" ht="15.75" x14ac:dyDescent="0.25">
      <c r="A17" s="16"/>
      <c r="B17" s="159"/>
      <c r="C17" s="159"/>
      <c r="D17" s="700"/>
      <c r="E17" s="607"/>
      <c r="F17" s="585">
        <f>$G$17*'19 General Wages'!T18</f>
        <v>356.66666666666669</v>
      </c>
      <c r="G17" s="807">
        <f>SUM(D11)</f>
        <v>356.66666666666669</v>
      </c>
      <c r="H17" s="242" t="s">
        <v>151</v>
      </c>
      <c r="I17" s="255"/>
      <c r="V17" s="25"/>
    </row>
    <row r="18" spans="1:22" ht="15.75" x14ac:dyDescent="0.25">
      <c r="A18" s="16"/>
      <c r="B18" s="159"/>
      <c r="C18" s="159"/>
      <c r="D18" s="700"/>
      <c r="E18" s="607"/>
      <c r="F18" s="259"/>
      <c r="G18" s="256"/>
      <c r="H18" s="338"/>
      <c r="I18" s="291"/>
    </row>
    <row r="19" spans="1:22" ht="15.75" x14ac:dyDescent="0.25">
      <c r="A19" s="11" t="s">
        <v>394</v>
      </c>
      <c r="B19" s="24"/>
      <c r="C19" s="24"/>
      <c r="D19" s="700"/>
      <c r="E19" s="785"/>
      <c r="F19" s="1221" t="s">
        <v>338</v>
      </c>
      <c r="G19" s="1222"/>
      <c r="H19" s="1222"/>
      <c r="I19" s="1223"/>
      <c r="J19" s="15" t="s">
        <v>171</v>
      </c>
      <c r="N19" s="15"/>
      <c r="Q19" s="20"/>
    </row>
    <row r="20" spans="1:22" ht="15.75" x14ac:dyDescent="0.25">
      <c r="A20" s="17" t="s">
        <v>149</v>
      </c>
      <c r="B20" s="787"/>
      <c r="C20" s="787"/>
      <c r="D20" s="700"/>
      <c r="E20" s="607"/>
      <c r="F20" s="586">
        <f>$G$29*'19 General Wages'!T9</f>
        <v>1911.2386501962201</v>
      </c>
      <c r="H20" s="954" t="s">
        <v>32</v>
      </c>
      <c r="I20" s="340"/>
      <c r="J20" s="267" t="s">
        <v>397</v>
      </c>
      <c r="N20" s="39"/>
      <c r="Q20" s="14"/>
    </row>
    <row r="21" spans="1:22" ht="15.75" x14ac:dyDescent="0.25">
      <c r="A21" s="18" t="s">
        <v>1202</v>
      </c>
      <c r="B21" s="411">
        <v>200</v>
      </c>
      <c r="C21" s="411">
        <v>500</v>
      </c>
      <c r="D21" s="700">
        <f>AVERAGE(B21:C21)</f>
        <v>350</v>
      </c>
      <c r="E21" s="607"/>
      <c r="F21" s="586">
        <f>$G$29*'19 General Wages'!T10</f>
        <v>1823.3719936761402</v>
      </c>
      <c r="G21" s="256"/>
      <c r="H21" s="954" t="s">
        <v>60</v>
      </c>
      <c r="I21" s="256"/>
      <c r="J21" s="267" t="s">
        <v>396</v>
      </c>
      <c r="N21" s="39"/>
      <c r="Q21" s="15"/>
    </row>
    <row r="22" spans="1:22" ht="15.75" x14ac:dyDescent="0.25">
      <c r="A22" s="18" t="s">
        <v>1196</v>
      </c>
      <c r="B22" s="411">
        <v>500</v>
      </c>
      <c r="C22" s="411">
        <v>1000</v>
      </c>
      <c r="D22" s="700"/>
      <c r="E22" s="607"/>
      <c r="F22" s="586">
        <f>$G$29*'19 General Wages'!T11</f>
        <v>1713.4569140218478</v>
      </c>
      <c r="G22" s="256"/>
      <c r="H22" s="954" t="s">
        <v>41</v>
      </c>
      <c r="I22" s="256"/>
      <c r="J22" s="519"/>
      <c r="N22" s="39"/>
      <c r="Q22" s="39"/>
    </row>
    <row r="23" spans="1:22" ht="15.75" x14ac:dyDescent="0.25">
      <c r="A23" s="18" t="s">
        <v>1203</v>
      </c>
      <c r="B23" s="411">
        <v>400</v>
      </c>
      <c r="C23" s="411">
        <v>3400</v>
      </c>
      <c r="D23" s="700">
        <f>AVERAGE(B22:C23)</f>
        <v>1325</v>
      </c>
      <c r="E23" s="607"/>
      <c r="F23" s="586">
        <f>$G$29*'19 General Wages'!T12</f>
        <v>1715.9871666153581</v>
      </c>
      <c r="G23" s="256"/>
      <c r="H23" s="954" t="s">
        <v>44</v>
      </c>
      <c r="I23" s="259"/>
      <c r="Q23" s="39"/>
    </row>
    <row r="24" spans="1:22" ht="15.75" x14ac:dyDescent="0.25">
      <c r="A24" s="18"/>
      <c r="B24" s="159"/>
      <c r="C24" s="159"/>
      <c r="D24" s="700"/>
      <c r="E24" s="607"/>
      <c r="F24" s="586">
        <f>$G$29*'19 General Wages'!T13</f>
        <v>1536.9431799600436</v>
      </c>
      <c r="G24" s="256"/>
      <c r="H24" s="954" t="s">
        <v>34</v>
      </c>
      <c r="I24" s="259"/>
      <c r="J24" s="194"/>
      <c r="Q24" s="39"/>
    </row>
    <row r="25" spans="1:22" ht="31.5" x14ac:dyDescent="0.25">
      <c r="A25" s="117" t="s">
        <v>1540</v>
      </c>
      <c r="B25" s="262"/>
      <c r="C25" s="262"/>
      <c r="D25" s="786"/>
      <c r="E25" s="607"/>
      <c r="F25" s="586">
        <f>$G$29*'19 General Wages'!T14</f>
        <v>1423.5839869767926</v>
      </c>
      <c r="G25" s="256"/>
      <c r="H25" s="954" t="s">
        <v>20</v>
      </c>
      <c r="I25" s="259"/>
    </row>
    <row r="26" spans="1:22" ht="31.5" x14ac:dyDescent="0.25">
      <c r="A26" s="528" t="s">
        <v>1541</v>
      </c>
      <c r="B26" s="790"/>
      <c r="C26" s="790"/>
      <c r="D26" s="783"/>
      <c r="E26" s="785"/>
      <c r="F26" s="586">
        <f>$G$29*'19 General Wages'!T15</f>
        <v>1512.4840986853701</v>
      </c>
      <c r="G26" s="256"/>
      <c r="H26" s="954" t="s">
        <v>27</v>
      </c>
      <c r="I26" s="259"/>
    </row>
    <row r="27" spans="1:22" ht="15.75" x14ac:dyDescent="0.25">
      <c r="B27" s="158"/>
      <c r="C27" s="158"/>
      <c r="D27" s="700"/>
      <c r="E27" s="785"/>
      <c r="F27" s="586">
        <f>$G$29*'19 General Wages'!T16</f>
        <v>1601.6118679465117</v>
      </c>
      <c r="G27" s="256"/>
      <c r="H27" s="954" t="s">
        <v>25</v>
      </c>
      <c r="I27" s="256"/>
    </row>
    <row r="28" spans="1:22" ht="15.75" x14ac:dyDescent="0.25">
      <c r="A28" s="40"/>
      <c r="B28" s="164"/>
      <c r="C28" s="164"/>
      <c r="D28" s="784"/>
      <c r="E28" s="242"/>
      <c r="F28" s="586">
        <f>$G$29*'19 General Wages'!T17</f>
        <v>1968.8944053777054</v>
      </c>
      <c r="G28" s="256"/>
      <c r="H28" s="954" t="s">
        <v>23</v>
      </c>
      <c r="I28" s="256"/>
    </row>
    <row r="29" spans="1:22" ht="15.75" x14ac:dyDescent="0.25">
      <c r="A29" s="16"/>
      <c r="B29" s="159"/>
      <c r="C29" s="159"/>
      <c r="D29" s="700"/>
      <c r="E29" s="67"/>
      <c r="F29" s="586">
        <f>$G$29*'19 General Wages'!T18</f>
        <v>1675</v>
      </c>
      <c r="G29" s="586">
        <f>SUM(D21:D23)</f>
        <v>1675</v>
      </c>
      <c r="H29" s="242" t="s">
        <v>151</v>
      </c>
      <c r="I29" s="259"/>
      <c r="Q29" s="14"/>
    </row>
    <row r="30" spans="1:22" ht="15.75" x14ac:dyDescent="0.25">
      <c r="A30" s="16"/>
      <c r="B30" s="159"/>
      <c r="C30" s="159"/>
      <c r="D30" s="700"/>
      <c r="E30" s="67"/>
      <c r="F30" s="259"/>
      <c r="G30" s="256"/>
      <c r="H30" s="338"/>
      <c r="I30" s="341"/>
      <c r="Q30" s="14"/>
    </row>
    <row r="31" spans="1:22" ht="15.75" x14ac:dyDescent="0.25">
      <c r="A31" s="11" t="s">
        <v>395</v>
      </c>
      <c r="B31" s="24"/>
      <c r="C31" s="24"/>
      <c r="D31" s="700"/>
      <c r="E31" s="242"/>
      <c r="F31" s="1221" t="s">
        <v>340</v>
      </c>
      <c r="G31" s="1222"/>
      <c r="H31" s="1222"/>
      <c r="I31" s="1223"/>
      <c r="J31" s="15" t="s">
        <v>171</v>
      </c>
    </row>
    <row r="32" spans="1:22" ht="15.75" x14ac:dyDescent="0.25">
      <c r="A32" s="17" t="s">
        <v>149</v>
      </c>
      <c r="B32" s="24"/>
      <c r="C32" s="24"/>
      <c r="D32" s="700"/>
      <c r="E32" s="242"/>
      <c r="F32" s="586">
        <f>$G$41*'19 General Wages'!T9</f>
        <v>399.3633000410012</v>
      </c>
      <c r="H32" s="955" t="s">
        <v>32</v>
      </c>
      <c r="I32" s="260"/>
      <c r="J32" s="161" t="s">
        <v>398</v>
      </c>
    </row>
    <row r="33" spans="1:17" ht="15.75" x14ac:dyDescent="0.25">
      <c r="A33" s="18" t="s">
        <v>1202</v>
      </c>
      <c r="B33" s="411">
        <v>200</v>
      </c>
      <c r="C33" s="411">
        <v>500</v>
      </c>
      <c r="D33" s="700">
        <f>AVERAGE(B33:C33)</f>
        <v>350</v>
      </c>
      <c r="E33" s="67"/>
      <c r="F33" s="586">
        <f>$G$41*'19 General Wages'!T10</f>
        <v>381.0031031562084</v>
      </c>
      <c r="G33" s="256"/>
      <c r="H33" s="955" t="s">
        <v>60</v>
      </c>
      <c r="I33" s="257"/>
      <c r="J33" s="161" t="s">
        <v>400</v>
      </c>
    </row>
    <row r="34" spans="1:17" ht="15.75" x14ac:dyDescent="0.25">
      <c r="A34" s="18"/>
      <c r="B34" s="159"/>
      <c r="C34" s="159"/>
      <c r="D34" s="700"/>
      <c r="E34" s="67"/>
      <c r="F34" s="586">
        <f>$G$41*'19 General Wages'!T11</f>
        <v>358.0357730791921</v>
      </c>
      <c r="G34" s="256"/>
      <c r="H34" s="955" t="s">
        <v>41</v>
      </c>
      <c r="I34" s="257"/>
    </row>
    <row r="35" spans="1:17" ht="15.75" x14ac:dyDescent="0.25">
      <c r="A35" s="18"/>
      <c r="B35" s="159"/>
      <c r="C35" s="159"/>
      <c r="D35" s="700"/>
      <c r="E35" s="67"/>
      <c r="F35" s="586">
        <f>$G$41*'19 General Wages'!T12</f>
        <v>358.56448257634349</v>
      </c>
      <c r="G35" s="256"/>
      <c r="H35" s="955" t="s">
        <v>44</v>
      </c>
      <c r="I35" s="260"/>
    </row>
    <row r="36" spans="1:17" ht="15.75" x14ac:dyDescent="0.25">
      <c r="A36" s="17"/>
      <c r="B36" s="24"/>
      <c r="C36" s="24"/>
      <c r="D36" s="700"/>
      <c r="E36" s="242"/>
      <c r="F36" s="586">
        <f>$G$41*'19 General Wages'!T13</f>
        <v>321.15230626030763</v>
      </c>
      <c r="G36" s="256"/>
      <c r="H36" s="955" t="s">
        <v>34</v>
      </c>
      <c r="I36" s="260"/>
      <c r="Q36" s="20"/>
    </row>
    <row r="37" spans="1:17" ht="15.75" x14ac:dyDescent="0.25">
      <c r="A37" s="17"/>
      <c r="B37" s="24"/>
      <c r="C37" s="24"/>
      <c r="D37" s="700"/>
      <c r="E37" s="242"/>
      <c r="F37" s="586">
        <f>$G$41*'19 General Wages'!T14</f>
        <v>297.46531071156858</v>
      </c>
      <c r="G37" s="256"/>
      <c r="H37" s="955" t="s">
        <v>20</v>
      </c>
      <c r="I37" s="260"/>
      <c r="Q37" s="20"/>
    </row>
    <row r="38" spans="1:17" ht="15.75" x14ac:dyDescent="0.25">
      <c r="A38" s="17"/>
      <c r="B38" s="24"/>
      <c r="C38" s="24"/>
      <c r="D38" s="700"/>
      <c r="E38" s="242"/>
      <c r="F38" s="586">
        <f>$G$41*'19 General Wages'!T15</f>
        <v>316.04145345664449</v>
      </c>
      <c r="G38" s="256"/>
      <c r="H38" s="955" t="s">
        <v>27</v>
      </c>
      <c r="I38" s="256"/>
      <c r="Q38" s="20"/>
    </row>
    <row r="39" spans="1:17" ht="15.75" x14ac:dyDescent="0.25">
      <c r="A39" s="17"/>
      <c r="B39" s="24"/>
      <c r="C39" s="24"/>
      <c r="D39" s="700"/>
      <c r="E39" s="242"/>
      <c r="F39" s="586">
        <f>$G$41*'19 General Wages'!T16</f>
        <v>334.66516643658451</v>
      </c>
      <c r="G39" s="256"/>
      <c r="H39" s="954" t="s">
        <v>25</v>
      </c>
      <c r="I39" s="256"/>
      <c r="Q39" s="20"/>
    </row>
    <row r="40" spans="1:17" ht="15.75" x14ac:dyDescent="0.25">
      <c r="A40" s="17"/>
      <c r="B40" s="24"/>
      <c r="C40" s="24"/>
      <c r="D40" s="700"/>
      <c r="E40" s="242"/>
      <c r="F40" s="586">
        <f>$G$41*'19 General Wages'!T17</f>
        <v>411.41077127295335</v>
      </c>
      <c r="G40" s="256"/>
      <c r="H40" s="954" t="s">
        <v>23</v>
      </c>
      <c r="I40" s="256"/>
      <c r="Q40" s="20"/>
    </row>
    <row r="41" spans="1:17" ht="15.75" x14ac:dyDescent="0.25">
      <c r="A41" s="17"/>
      <c r="B41" s="24"/>
      <c r="C41" s="24"/>
      <c r="D41" s="700"/>
      <c r="E41" s="242"/>
      <c r="F41" s="586">
        <f>$G$41*'19 General Wages'!T18</f>
        <v>350</v>
      </c>
      <c r="G41" s="586">
        <f>D33</f>
        <v>350</v>
      </c>
      <c r="H41" s="242" t="s">
        <v>151</v>
      </c>
      <c r="I41" s="256"/>
      <c r="Q41" s="20"/>
    </row>
    <row r="42" spans="1:17" ht="15.75" x14ac:dyDescent="0.25">
      <c r="A42" s="17"/>
      <c r="B42" s="24"/>
      <c r="C42" s="24"/>
      <c r="D42" s="700"/>
      <c r="E42" s="242"/>
      <c r="F42" s="256"/>
      <c r="G42" s="256"/>
      <c r="H42" s="255"/>
      <c r="I42" s="261"/>
      <c r="Q42" s="15"/>
    </row>
    <row r="43" spans="1:17" ht="15.75" x14ac:dyDescent="0.25">
      <c r="A43" s="11" t="s">
        <v>505</v>
      </c>
      <c r="B43" s="24"/>
      <c r="C43" s="24"/>
      <c r="D43" s="700"/>
      <c r="E43" s="242"/>
      <c r="F43" s="1221" t="s">
        <v>341</v>
      </c>
      <c r="G43" s="1222"/>
      <c r="H43" s="1222"/>
      <c r="I43" s="1223"/>
      <c r="J43" s="15" t="s">
        <v>171</v>
      </c>
      <c r="Q43" s="39"/>
    </row>
    <row r="44" spans="1:17" ht="15.75" x14ac:dyDescent="0.25">
      <c r="A44" s="17" t="s">
        <v>149</v>
      </c>
      <c r="B44" s="24"/>
      <c r="C44" s="24"/>
      <c r="D44" s="700"/>
      <c r="E44" s="242"/>
      <c r="F44" s="586">
        <f>$G$53*'19 General Wages'!T9</f>
        <v>1911.2386501962201</v>
      </c>
      <c r="H44" s="955" t="s">
        <v>32</v>
      </c>
      <c r="I44" s="260"/>
      <c r="J44" s="267" t="s">
        <v>397</v>
      </c>
      <c r="Q44" s="39"/>
    </row>
    <row r="45" spans="1:17" ht="15.75" x14ac:dyDescent="0.25">
      <c r="A45" s="18" t="s">
        <v>1201</v>
      </c>
      <c r="B45" s="411">
        <v>200</v>
      </c>
      <c r="C45" s="411">
        <v>500</v>
      </c>
      <c r="D45" s="700">
        <f>AVERAGE(B45:C45)</f>
        <v>350</v>
      </c>
      <c r="E45" s="607"/>
      <c r="F45" s="586">
        <f>$G$53*'19 General Wages'!T10</f>
        <v>1823.3719936761402</v>
      </c>
      <c r="G45" s="256"/>
      <c r="H45" s="955" t="s">
        <v>60</v>
      </c>
      <c r="I45" s="257"/>
      <c r="J45" s="267" t="s">
        <v>396</v>
      </c>
      <c r="Q45" s="39"/>
    </row>
    <row r="46" spans="1:17" ht="15.75" x14ac:dyDescent="0.25">
      <c r="A46" s="18" t="s">
        <v>1196</v>
      </c>
      <c r="B46" s="411">
        <v>500</v>
      </c>
      <c r="C46" s="411">
        <v>1000</v>
      </c>
      <c r="D46" s="700"/>
      <c r="E46" s="607"/>
      <c r="F46" s="586">
        <f>$G$53*'19 General Wages'!T11</f>
        <v>1713.4569140218478</v>
      </c>
      <c r="G46" s="256"/>
      <c r="H46" s="955" t="s">
        <v>41</v>
      </c>
      <c r="I46" s="257"/>
      <c r="J46" s="519"/>
    </row>
    <row r="47" spans="1:17" ht="15.75" x14ac:dyDescent="0.25">
      <c r="A47" s="18" t="s">
        <v>1203</v>
      </c>
      <c r="B47" s="411">
        <v>400</v>
      </c>
      <c r="C47" s="411">
        <v>3400</v>
      </c>
      <c r="D47" s="700">
        <f>AVERAGE(B46:C47)</f>
        <v>1325</v>
      </c>
      <c r="E47" s="607"/>
      <c r="F47" s="586">
        <f>$G$53*'19 General Wages'!T12</f>
        <v>1715.9871666153581</v>
      </c>
      <c r="G47" s="256"/>
      <c r="H47" s="955" t="s">
        <v>44</v>
      </c>
      <c r="I47" s="260"/>
      <c r="Q47" s="20"/>
    </row>
    <row r="48" spans="1:17" ht="15.75" x14ac:dyDescent="0.25">
      <c r="A48" s="18"/>
      <c r="B48" s="159"/>
      <c r="C48" s="159"/>
      <c r="D48" s="700"/>
      <c r="E48" s="607"/>
      <c r="F48" s="586">
        <f>$G$53*'19 General Wages'!T13</f>
        <v>1536.9431799600436</v>
      </c>
      <c r="G48" s="256"/>
      <c r="H48" s="955" t="s">
        <v>34</v>
      </c>
      <c r="I48" s="260"/>
      <c r="J48" s="194"/>
      <c r="Q48" s="14"/>
    </row>
    <row r="49" spans="1:17" ht="15.75" x14ac:dyDescent="0.25">
      <c r="A49" s="17" t="s">
        <v>937</v>
      </c>
      <c r="B49" s="24"/>
      <c r="C49" s="24"/>
      <c r="D49" s="700"/>
      <c r="E49" s="607"/>
      <c r="F49" s="586">
        <f>$G$53*'19 General Wages'!T14</f>
        <v>1423.5839869767926</v>
      </c>
      <c r="G49" s="256"/>
      <c r="H49" s="955" t="s">
        <v>20</v>
      </c>
      <c r="I49" s="260"/>
    </row>
    <row r="50" spans="1:17" ht="15.75" x14ac:dyDescent="0.25">
      <c r="A50" s="17"/>
      <c r="B50" s="24"/>
      <c r="C50" s="24"/>
      <c r="D50" s="700"/>
      <c r="E50" s="242"/>
      <c r="F50" s="586">
        <f>$G$53*'19 General Wages'!T15</f>
        <v>1512.4840986853701</v>
      </c>
      <c r="G50" s="256"/>
      <c r="H50" s="955" t="s">
        <v>27</v>
      </c>
      <c r="I50" s="260"/>
    </row>
    <row r="51" spans="1:17" ht="15.75" x14ac:dyDescent="0.25">
      <c r="A51" s="17"/>
      <c r="B51" s="24"/>
      <c r="C51" s="24"/>
      <c r="D51" s="700"/>
      <c r="E51" s="242"/>
      <c r="F51" s="586">
        <f>$G$53*'19 General Wages'!T16</f>
        <v>1601.6118679465117</v>
      </c>
      <c r="G51" s="256"/>
      <c r="H51" s="955" t="s">
        <v>25</v>
      </c>
      <c r="I51" s="256"/>
    </row>
    <row r="52" spans="1:17" ht="15.75" x14ac:dyDescent="0.25">
      <c r="A52" s="17"/>
      <c r="B52" s="24"/>
      <c r="C52" s="24"/>
      <c r="D52" s="700"/>
      <c r="E52" s="242"/>
      <c r="F52" s="586">
        <f>$G$53*'19 General Wages'!T17</f>
        <v>1968.8944053777054</v>
      </c>
      <c r="G52" s="256"/>
      <c r="H52" s="955" t="s">
        <v>23</v>
      </c>
      <c r="I52" s="256"/>
    </row>
    <row r="53" spans="1:17" ht="15.75" x14ac:dyDescent="0.25">
      <c r="A53" s="17"/>
      <c r="B53" s="24"/>
      <c r="C53" s="24"/>
      <c r="D53" s="700"/>
      <c r="E53" s="242"/>
      <c r="F53" s="586">
        <f>$G$53*'19 General Wages'!T18</f>
        <v>1675</v>
      </c>
      <c r="G53" s="586">
        <f>SUM(D45:D47)</f>
        <v>1675</v>
      </c>
      <c r="H53" s="242" t="s">
        <v>151</v>
      </c>
      <c r="I53" s="256"/>
    </row>
    <row r="54" spans="1:17" ht="15.75" x14ac:dyDescent="0.25">
      <c r="A54" s="16"/>
      <c r="B54" s="159"/>
      <c r="C54" s="159"/>
      <c r="D54" s="700"/>
      <c r="E54" s="67"/>
      <c r="F54" s="259"/>
      <c r="G54" s="256"/>
      <c r="H54" s="255"/>
      <c r="I54" s="261"/>
    </row>
    <row r="55" spans="1:17" ht="15.75" x14ac:dyDescent="0.25">
      <c r="A55" s="11" t="s">
        <v>0</v>
      </c>
      <c r="B55" s="24"/>
      <c r="C55" s="24"/>
      <c r="D55" s="700"/>
      <c r="E55" s="242"/>
      <c r="F55" s="1221" t="s">
        <v>342</v>
      </c>
      <c r="G55" s="1222"/>
      <c r="H55" s="1222"/>
      <c r="I55" s="1223"/>
      <c r="J55" s="15" t="s">
        <v>171</v>
      </c>
    </row>
    <row r="56" spans="1:17" ht="15.75" x14ac:dyDescent="0.25">
      <c r="A56" s="17" t="s">
        <v>149</v>
      </c>
      <c r="F56" s="586">
        <f>$G$65*'19 General Wages'!T9</f>
        <v>228.20760002342925</v>
      </c>
      <c r="H56" s="955" t="s">
        <v>32</v>
      </c>
      <c r="I56" s="260"/>
      <c r="J56" s="161" t="s">
        <v>936</v>
      </c>
    </row>
    <row r="57" spans="1:17" ht="15.75" x14ac:dyDescent="0.25">
      <c r="A57" s="18" t="s">
        <v>401</v>
      </c>
      <c r="B57" s="411">
        <v>100</v>
      </c>
      <c r="C57" s="411">
        <v>300</v>
      </c>
      <c r="D57" s="700">
        <f>AVERAGE(B57:C57)</f>
        <v>200</v>
      </c>
      <c r="E57" s="67"/>
      <c r="F57" s="586">
        <f>$G$65*'19 General Wages'!T10</f>
        <v>217.71605894640481</v>
      </c>
      <c r="G57" s="256"/>
      <c r="H57" s="955" t="s">
        <v>60</v>
      </c>
      <c r="I57" s="257"/>
      <c r="J57" s="39"/>
      <c r="Q57" s="20"/>
    </row>
    <row r="58" spans="1:17" ht="15.75" x14ac:dyDescent="0.25">
      <c r="A58" s="18"/>
      <c r="B58" s="159"/>
      <c r="C58" s="159"/>
      <c r="D58" s="700"/>
      <c r="E58" s="67"/>
      <c r="F58" s="586">
        <f>$G$65*'19 General Wages'!T11</f>
        <v>204.59187033096691</v>
      </c>
      <c r="G58" s="256"/>
      <c r="H58" s="955" t="s">
        <v>41</v>
      </c>
      <c r="I58" s="257"/>
      <c r="J58" s="39"/>
      <c r="Q58" s="14"/>
    </row>
    <row r="59" spans="1:17" ht="15.75" x14ac:dyDescent="0.25">
      <c r="A59" s="18"/>
      <c r="B59" s="159"/>
      <c r="C59" s="159"/>
      <c r="D59" s="700"/>
      <c r="E59" s="67"/>
      <c r="F59" s="586">
        <f>$G$65*'19 General Wages'!T12</f>
        <v>204.89399004362485</v>
      </c>
      <c r="G59" s="256"/>
      <c r="H59" s="955" t="s">
        <v>44</v>
      </c>
      <c r="I59" s="260"/>
    </row>
    <row r="60" spans="1:17" ht="15.75" x14ac:dyDescent="0.25">
      <c r="A60" s="17"/>
      <c r="B60" s="24"/>
      <c r="C60" s="24"/>
      <c r="D60" s="700"/>
      <c r="E60" s="242"/>
      <c r="F60" s="586">
        <f>$G$65*'19 General Wages'!T13</f>
        <v>183.51560357731864</v>
      </c>
      <c r="G60" s="256"/>
      <c r="H60" s="955" t="s">
        <v>34</v>
      </c>
      <c r="I60" s="260"/>
    </row>
    <row r="61" spans="1:17" ht="15.75" x14ac:dyDescent="0.25">
      <c r="A61" s="17"/>
      <c r="B61" s="24"/>
      <c r="C61" s="24"/>
      <c r="D61" s="700"/>
      <c r="E61" s="242"/>
      <c r="F61" s="586">
        <f>$G$65*'19 General Wages'!T14</f>
        <v>169.98017754946778</v>
      </c>
      <c r="G61" s="256"/>
      <c r="H61" s="955" t="s">
        <v>20</v>
      </c>
      <c r="I61" s="260"/>
    </row>
    <row r="62" spans="1:17" ht="15.75" x14ac:dyDescent="0.25">
      <c r="A62" s="17"/>
      <c r="B62" s="24"/>
      <c r="C62" s="24"/>
      <c r="D62" s="700"/>
      <c r="E62" s="242"/>
      <c r="F62" s="586">
        <f>$G$65*'19 General Wages'!T15</f>
        <v>180.5951162609397</v>
      </c>
      <c r="G62" s="256"/>
      <c r="H62" s="955" t="s">
        <v>27</v>
      </c>
      <c r="I62" s="257"/>
    </row>
    <row r="63" spans="1:17" ht="15.75" x14ac:dyDescent="0.25">
      <c r="A63" s="17"/>
      <c r="B63" s="24"/>
      <c r="C63" s="24"/>
      <c r="D63" s="700"/>
      <c r="E63" s="242"/>
      <c r="F63" s="586">
        <f>$G$65*'19 General Wages'!T16</f>
        <v>191.23723796376257</v>
      </c>
      <c r="G63" s="256"/>
      <c r="H63" s="955" t="s">
        <v>25</v>
      </c>
      <c r="I63" s="256"/>
    </row>
    <row r="64" spans="1:17" ht="15.75" x14ac:dyDescent="0.25">
      <c r="A64" s="17"/>
      <c r="B64" s="24"/>
      <c r="C64" s="24"/>
      <c r="D64" s="700"/>
      <c r="E64" s="242"/>
      <c r="F64" s="586">
        <f>$G$65*'19 General Wages'!T17</f>
        <v>235.09186929883049</v>
      </c>
      <c r="G64" s="256"/>
      <c r="H64" s="955" t="s">
        <v>23</v>
      </c>
      <c r="I64" s="256"/>
    </row>
    <row r="65" spans="1:17" ht="15.75" x14ac:dyDescent="0.25">
      <c r="A65" s="17"/>
      <c r="B65" s="24"/>
      <c r="C65" s="24"/>
      <c r="D65" s="700"/>
      <c r="E65" s="242"/>
      <c r="F65" s="586">
        <f>$G$65*'19 General Wages'!T18</f>
        <v>200</v>
      </c>
      <c r="G65" s="586">
        <f>D57</f>
        <v>200</v>
      </c>
      <c r="H65" s="242" t="s">
        <v>151</v>
      </c>
      <c r="I65" s="256"/>
    </row>
    <row r="66" spans="1:17" ht="15.75" x14ac:dyDescent="0.25">
      <c r="A66" s="16"/>
      <c r="B66" s="159"/>
      <c r="C66" s="159"/>
      <c r="D66" s="700"/>
      <c r="E66" s="67"/>
      <c r="F66" s="524"/>
      <c r="G66" s="256"/>
      <c r="H66" s="255"/>
      <c r="I66" s="261"/>
    </row>
    <row r="67" spans="1:17" ht="15.75" x14ac:dyDescent="0.25">
      <c r="A67" s="11" t="s">
        <v>1</v>
      </c>
      <c r="B67" s="24"/>
      <c r="C67" s="24"/>
      <c r="D67" s="700"/>
      <c r="E67" s="242"/>
      <c r="F67" s="1221" t="s">
        <v>343</v>
      </c>
      <c r="G67" s="1222"/>
      <c r="H67" s="1222"/>
      <c r="I67" s="1223"/>
      <c r="J67" s="15" t="s">
        <v>171</v>
      </c>
    </row>
    <row r="68" spans="1:17" ht="15.75" x14ac:dyDescent="0.25">
      <c r="A68" s="17" t="s">
        <v>149</v>
      </c>
      <c r="B68" s="24"/>
      <c r="C68" s="24"/>
      <c r="D68" s="700"/>
      <c r="E68" s="242"/>
      <c r="F68" s="586">
        <f>$G$77*'19 General Wages'!T9</f>
        <v>171.15570001757195</v>
      </c>
      <c r="H68" s="955" t="s">
        <v>32</v>
      </c>
      <c r="I68" s="260"/>
      <c r="J68" s="161" t="s">
        <v>403</v>
      </c>
      <c r="Q68" s="20"/>
    </row>
    <row r="69" spans="1:17" ht="15.75" x14ac:dyDescent="0.25">
      <c r="A69" s="18" t="s">
        <v>880</v>
      </c>
      <c r="B69" s="411">
        <f>25*6</f>
        <v>150</v>
      </c>
      <c r="C69" s="411">
        <f>25*6</f>
        <v>150</v>
      </c>
      <c r="D69" s="700">
        <f>AVERAGE(B69:C69)</f>
        <v>150</v>
      </c>
      <c r="E69" s="67"/>
      <c r="F69" s="586">
        <f>$G$77*'19 General Wages'!T10</f>
        <v>163.28704420980361</v>
      </c>
      <c r="G69" s="256"/>
      <c r="H69" s="955" t="s">
        <v>60</v>
      </c>
      <c r="I69" s="257"/>
      <c r="J69" s="39"/>
      <c r="Q69" s="14"/>
    </row>
    <row r="70" spans="1:17" ht="15.75" x14ac:dyDescent="0.25">
      <c r="A70" s="18"/>
      <c r="B70" s="159"/>
      <c r="C70" s="159"/>
      <c r="D70" s="700"/>
      <c r="E70" s="67"/>
      <c r="F70" s="586">
        <f>$G$77*'19 General Wages'!T11</f>
        <v>153.44390274822518</v>
      </c>
      <c r="G70" s="256"/>
      <c r="H70" s="955" t="s">
        <v>41</v>
      </c>
      <c r="I70" s="257"/>
      <c r="J70" s="39"/>
      <c r="Q70" s="15"/>
    </row>
    <row r="71" spans="1:17" ht="15.75" x14ac:dyDescent="0.25">
      <c r="A71" s="18"/>
      <c r="B71" s="159"/>
      <c r="C71" s="159"/>
      <c r="D71" s="700"/>
      <c r="E71" s="67"/>
      <c r="F71" s="586">
        <f>$G$77*'19 General Wages'!T12</f>
        <v>153.67049253271864</v>
      </c>
      <c r="G71" s="256"/>
      <c r="H71" s="955" t="s">
        <v>44</v>
      </c>
      <c r="I71" s="260"/>
      <c r="Q71" s="39"/>
    </row>
    <row r="72" spans="1:17" ht="15.75" x14ac:dyDescent="0.25">
      <c r="A72" s="17"/>
      <c r="B72" s="24"/>
      <c r="C72" s="24"/>
      <c r="D72" s="700"/>
      <c r="E72" s="242"/>
      <c r="F72" s="586">
        <f>$G$77*'19 General Wages'!T13</f>
        <v>137.63670268298898</v>
      </c>
      <c r="G72" s="256"/>
      <c r="H72" s="955" t="s">
        <v>34</v>
      </c>
      <c r="I72" s="260"/>
      <c r="Q72" s="39"/>
    </row>
    <row r="73" spans="1:17" ht="15.75" x14ac:dyDescent="0.25">
      <c r="A73" s="17"/>
      <c r="B73" s="24"/>
      <c r="C73" s="24"/>
      <c r="D73" s="700"/>
      <c r="E73" s="242"/>
      <c r="F73" s="586">
        <f>$G$77*'19 General Wages'!T14</f>
        <v>127.48513316210082</v>
      </c>
      <c r="G73" s="256"/>
      <c r="H73" s="955" t="s">
        <v>20</v>
      </c>
      <c r="I73" s="260"/>
      <c r="Q73" s="39"/>
    </row>
    <row r="74" spans="1:17" ht="15.75" x14ac:dyDescent="0.25">
      <c r="A74" s="17"/>
      <c r="B74" s="24"/>
      <c r="C74" s="24"/>
      <c r="D74" s="700"/>
      <c r="E74" s="242"/>
      <c r="F74" s="586">
        <f>$G$77*'19 General Wages'!T15</f>
        <v>135.44633719570479</v>
      </c>
      <c r="G74" s="256"/>
      <c r="H74" s="955" t="s">
        <v>27</v>
      </c>
      <c r="I74" s="256"/>
      <c r="Q74" s="39"/>
    </row>
    <row r="75" spans="1:17" ht="15.75" x14ac:dyDescent="0.25">
      <c r="A75" s="17"/>
      <c r="B75" s="24"/>
      <c r="C75" s="24"/>
      <c r="D75" s="700"/>
      <c r="E75" s="242"/>
      <c r="F75" s="586">
        <f>$G$77*'19 General Wages'!T16</f>
        <v>143.42792847282192</v>
      </c>
      <c r="G75" s="256"/>
      <c r="H75" s="955" t="s">
        <v>25</v>
      </c>
      <c r="I75" s="256"/>
      <c r="Q75" s="39"/>
    </row>
    <row r="76" spans="1:17" ht="15.75" x14ac:dyDescent="0.25">
      <c r="A76" s="17"/>
      <c r="B76" s="24"/>
      <c r="C76" s="24"/>
      <c r="D76" s="700"/>
      <c r="E76" s="242"/>
      <c r="F76" s="586">
        <f>$G$77*'19 General Wages'!T17</f>
        <v>176.31890197412287</v>
      </c>
      <c r="G76" s="256"/>
      <c r="H76" s="955" t="s">
        <v>23</v>
      </c>
      <c r="I76" s="256"/>
      <c r="Q76" s="39"/>
    </row>
    <row r="77" spans="1:17" ht="15.75" x14ac:dyDescent="0.25">
      <c r="A77" s="17"/>
      <c r="B77" s="24"/>
      <c r="C77" s="24"/>
      <c r="D77" s="700"/>
      <c r="E77" s="242"/>
      <c r="F77" s="586">
        <f>$G$77*'19 General Wages'!T18</f>
        <v>150</v>
      </c>
      <c r="G77" s="586">
        <f>D69</f>
        <v>150</v>
      </c>
      <c r="H77" s="242" t="s">
        <v>151</v>
      </c>
      <c r="I77" s="256"/>
      <c r="Q77" s="39"/>
    </row>
    <row r="78" spans="1:17" ht="15.75" x14ac:dyDescent="0.25">
      <c r="A78" s="16"/>
      <c r="B78" s="159"/>
      <c r="C78" s="159"/>
      <c r="D78" s="700"/>
      <c r="E78" s="67"/>
      <c r="F78" s="259"/>
      <c r="G78" s="256"/>
      <c r="H78" s="255"/>
      <c r="I78" s="261"/>
    </row>
    <row r="79" spans="1:17" ht="15.75" x14ac:dyDescent="0.25">
      <c r="A79" s="11" t="s">
        <v>2</v>
      </c>
      <c r="B79" s="24"/>
      <c r="C79" s="24"/>
      <c r="D79" s="700"/>
      <c r="E79" s="242"/>
      <c r="F79" s="1221" t="s">
        <v>344</v>
      </c>
      <c r="G79" s="1222"/>
      <c r="H79" s="1222"/>
      <c r="I79" s="1223"/>
      <c r="J79" s="15" t="s">
        <v>171</v>
      </c>
      <c r="Q79" s="20"/>
    </row>
    <row r="80" spans="1:17" ht="15.75" x14ac:dyDescent="0.25">
      <c r="A80" s="17" t="s">
        <v>149</v>
      </c>
      <c r="B80" s="24"/>
      <c r="C80" s="24"/>
      <c r="D80" s="700"/>
      <c r="E80" s="242"/>
      <c r="F80" s="586">
        <f>$G$89*'19 General Wages'!T9</f>
        <v>855.7785000878597</v>
      </c>
      <c r="H80" s="955" t="s">
        <v>32</v>
      </c>
      <c r="I80" s="260"/>
      <c r="J80" s="519" t="s">
        <v>1208</v>
      </c>
      <c r="Q80" s="14"/>
    </row>
    <row r="81" spans="1:17" ht="15.75" x14ac:dyDescent="0.25">
      <c r="A81" s="18" t="s">
        <v>1342</v>
      </c>
      <c r="B81" s="411">
        <v>500</v>
      </c>
      <c r="C81" s="411">
        <v>1000</v>
      </c>
      <c r="D81" s="700">
        <f>AVERAGE(B81:C81)</f>
        <v>750</v>
      </c>
      <c r="E81" s="67"/>
      <c r="F81" s="586">
        <f>$G$89*'19 General Wages'!T10</f>
        <v>816.43522104901797</v>
      </c>
      <c r="G81" s="256"/>
      <c r="H81" s="955" t="s">
        <v>60</v>
      </c>
      <c r="I81" s="257"/>
      <c r="Q81" s="15"/>
    </row>
    <row r="82" spans="1:17" ht="15.75" x14ac:dyDescent="0.25">
      <c r="A82" s="18"/>
      <c r="B82" s="411"/>
      <c r="C82" s="411"/>
      <c r="D82" s="700"/>
      <c r="E82" s="67"/>
      <c r="F82" s="586">
        <f>$G$89*'19 General Wages'!T11</f>
        <v>767.21951374112587</v>
      </c>
      <c r="G82" s="256"/>
      <c r="H82" s="955" t="s">
        <v>41</v>
      </c>
      <c r="I82" s="257"/>
      <c r="J82" s="39"/>
      <c r="Q82" s="39"/>
    </row>
    <row r="83" spans="1:17" ht="15.75" x14ac:dyDescent="0.25">
      <c r="A83" s="18"/>
      <c r="B83" s="159"/>
      <c r="C83" s="159"/>
      <c r="D83" s="700"/>
      <c r="E83" s="67"/>
      <c r="F83" s="586">
        <f>$G$89*'19 General Wages'!T12</f>
        <v>768.3524626635932</v>
      </c>
      <c r="G83" s="256"/>
      <c r="H83" s="955" t="s">
        <v>44</v>
      </c>
      <c r="I83" s="260"/>
      <c r="Q83" s="39"/>
    </row>
    <row r="84" spans="1:17" ht="15.75" x14ac:dyDescent="0.25">
      <c r="A84" s="18"/>
      <c r="B84" s="159"/>
      <c r="C84" s="159"/>
      <c r="D84" s="700"/>
      <c r="E84" s="67"/>
      <c r="F84" s="586">
        <f>$G$89*'19 General Wages'!T13</f>
        <v>688.18351341494485</v>
      </c>
      <c r="G84" s="256"/>
      <c r="H84" s="955" t="s">
        <v>34</v>
      </c>
      <c r="I84" s="260"/>
      <c r="Q84" s="39"/>
    </row>
    <row r="85" spans="1:17" ht="15.75" x14ac:dyDescent="0.25">
      <c r="A85" s="17"/>
      <c r="B85" s="24"/>
      <c r="C85" s="24"/>
      <c r="D85" s="700"/>
      <c r="E85" s="242"/>
      <c r="F85" s="586">
        <f>$G$89*'19 General Wages'!T14</f>
        <v>637.42566581050414</v>
      </c>
      <c r="G85" s="256"/>
      <c r="H85" s="955" t="s">
        <v>20</v>
      </c>
      <c r="I85" s="260"/>
    </row>
    <row r="86" spans="1:17" ht="15.75" x14ac:dyDescent="0.25">
      <c r="A86" s="17"/>
      <c r="B86" s="24"/>
      <c r="C86" s="24"/>
      <c r="D86" s="700"/>
      <c r="E86" s="242"/>
      <c r="F86" s="586">
        <f>$G$89*'19 General Wages'!T15</f>
        <v>677.23168597852396</v>
      </c>
      <c r="G86" s="256"/>
      <c r="H86" s="955" t="s">
        <v>27</v>
      </c>
      <c r="I86" s="260"/>
    </row>
    <row r="87" spans="1:17" ht="15.75" x14ac:dyDescent="0.25">
      <c r="A87" s="17"/>
      <c r="B87" s="24"/>
      <c r="C87" s="24"/>
      <c r="D87" s="700"/>
      <c r="E87" s="242"/>
      <c r="F87" s="586">
        <f>$G$89*'19 General Wages'!T16</f>
        <v>717.1396423641097</v>
      </c>
      <c r="G87" s="256"/>
      <c r="H87" s="955" t="s">
        <v>25</v>
      </c>
      <c r="I87" s="257"/>
    </row>
    <row r="88" spans="1:17" ht="15.75" x14ac:dyDescent="0.25">
      <c r="A88" s="17"/>
      <c r="B88" s="24"/>
      <c r="C88" s="24"/>
      <c r="D88" s="700"/>
      <c r="E88" s="242"/>
      <c r="F88" s="586">
        <f>$G$89*'19 General Wages'!T17</f>
        <v>881.59450987061439</v>
      </c>
      <c r="G88" s="256"/>
      <c r="H88" s="955" t="s">
        <v>23</v>
      </c>
      <c r="I88" s="256"/>
    </row>
    <row r="89" spans="1:17" ht="15.75" x14ac:dyDescent="0.25">
      <c r="A89" s="17"/>
      <c r="B89" s="24"/>
      <c r="C89" s="24"/>
      <c r="D89" s="700"/>
      <c r="E89" s="242"/>
      <c r="F89" s="586">
        <f>$G$89*'19 General Wages'!T18</f>
        <v>750</v>
      </c>
      <c r="G89" s="586">
        <f>SUM(D81:D82)</f>
        <v>750</v>
      </c>
      <c r="H89" s="242" t="s">
        <v>151</v>
      </c>
      <c r="I89" s="256"/>
    </row>
    <row r="90" spans="1:17" ht="15.75" x14ac:dyDescent="0.25">
      <c r="A90" s="16"/>
      <c r="B90" s="159"/>
      <c r="C90" s="159"/>
      <c r="D90" s="700"/>
      <c r="E90" s="67"/>
      <c r="F90" s="256"/>
      <c r="G90" s="256"/>
      <c r="H90" s="256"/>
      <c r="I90" s="261"/>
      <c r="J90" s="15"/>
      <c r="Q90" s="14"/>
    </row>
    <row r="91" spans="1:17" ht="15.75" x14ac:dyDescent="0.25">
      <c r="A91" s="11" t="s">
        <v>415</v>
      </c>
      <c r="B91" s="24"/>
      <c r="C91" s="24"/>
      <c r="D91" s="700"/>
      <c r="E91" s="242"/>
      <c r="F91" s="1221" t="s">
        <v>82</v>
      </c>
      <c r="G91" s="1222"/>
      <c r="H91" s="1222"/>
      <c r="I91" s="1223"/>
      <c r="J91" s="15" t="s">
        <v>171</v>
      </c>
      <c r="Q91" s="15"/>
    </row>
    <row r="92" spans="1:17" ht="15.75" x14ac:dyDescent="0.25">
      <c r="A92" s="17" t="s">
        <v>149</v>
      </c>
      <c r="B92" s="24"/>
      <c r="C92" s="24"/>
      <c r="D92" s="700"/>
      <c r="E92" s="242"/>
      <c r="F92" s="586">
        <f>I92*'24 Mini-Split Air Handler Notes'!D37+$D$95*'19 General Wages'!T9</f>
        <v>1236.5999326269573</v>
      </c>
      <c r="H92" s="955" t="s">
        <v>32</v>
      </c>
      <c r="I92" s="794">
        <f>$G$101*'19 General Wages'!T9</f>
        <v>316.6380450325081</v>
      </c>
      <c r="J92" s="161" t="s">
        <v>374</v>
      </c>
      <c r="Q92" s="39"/>
    </row>
    <row r="93" spans="1:17" ht="15.75" x14ac:dyDescent="0.25">
      <c r="A93" s="18" t="s">
        <v>1209</v>
      </c>
      <c r="B93" s="411">
        <v>80</v>
      </c>
      <c r="C93" s="411">
        <v>150</v>
      </c>
      <c r="D93" s="796">
        <f>AVERAGE(B93,C93)</f>
        <v>115</v>
      </c>
      <c r="E93" s="67"/>
      <c r="F93" s="586">
        <f>I93*'24 Mini-Split Air Handler Notes'!D38+$D$95*'19 General Wages'!T10</f>
        <v>1179.7488944158308</v>
      </c>
      <c r="G93" s="256"/>
      <c r="H93" s="955" t="s">
        <v>60</v>
      </c>
      <c r="I93" s="794">
        <f>$G$101*'19 General Wages'!T10</f>
        <v>302.08103178813667</v>
      </c>
      <c r="J93" s="161" t="s">
        <v>404</v>
      </c>
      <c r="Q93" s="39"/>
    </row>
    <row r="94" spans="1:17" ht="15.75" customHeight="1" x14ac:dyDescent="0.25">
      <c r="A94" s="18" t="s">
        <v>405</v>
      </c>
      <c r="B94" s="411">
        <v>75</v>
      </c>
      <c r="C94" s="411">
        <v>250</v>
      </c>
      <c r="D94" s="796">
        <f>AVERAGE(B94:C94)</f>
        <v>162.5</v>
      </c>
      <c r="E94" s="67"/>
      <c r="F94" s="586">
        <f>I94*'24 Mini-Split Air Handler Notes'!D39+$D$95*'19 General Wages'!T11</f>
        <v>895.72878229276455</v>
      </c>
      <c r="G94" s="256"/>
      <c r="H94" s="955" t="s">
        <v>41</v>
      </c>
      <c r="I94" s="794">
        <f>$G$101*'19 General Wages'!T11</f>
        <v>283.87122008421659</v>
      </c>
      <c r="J94" s="30" t="s">
        <v>1210</v>
      </c>
      <c r="K94" s="797"/>
      <c r="L94" s="797"/>
      <c r="M94" s="797"/>
      <c r="N94" s="797"/>
      <c r="O94" s="797"/>
      <c r="P94" s="797"/>
      <c r="Q94" s="39"/>
    </row>
    <row r="95" spans="1:17" ht="15.75" customHeight="1" x14ac:dyDescent="0.25">
      <c r="A95" s="18" t="s">
        <v>1343</v>
      </c>
      <c r="B95" s="159">
        <v>25</v>
      </c>
      <c r="C95" s="159">
        <v>200</v>
      </c>
      <c r="D95" s="796">
        <f>AVERAGE(B95:C95)</f>
        <v>112.5</v>
      </c>
      <c r="E95" s="67"/>
      <c r="F95" s="586">
        <f>I95*'24 Mini-Split Air Handler Notes'!D40+$D$95*'19 General Wages'!T12</f>
        <v>897.05150015974505</v>
      </c>
      <c r="G95" s="256"/>
      <c r="H95" s="955" t="s">
        <v>44</v>
      </c>
      <c r="I95" s="794">
        <f>$G$101*'19 General Wages'!T12</f>
        <v>284.29041118552948</v>
      </c>
      <c r="J95" s="1216" t="s">
        <v>1302</v>
      </c>
      <c r="K95" s="1217"/>
      <c r="L95" s="1217"/>
      <c r="M95" s="1217"/>
      <c r="N95" s="1217"/>
      <c r="O95" s="1217"/>
      <c r="P95" s="1217"/>
    </row>
    <row r="96" spans="1:17" ht="15.75" x14ac:dyDescent="0.25">
      <c r="A96" s="18"/>
      <c r="B96" s="159"/>
      <c r="C96" s="159"/>
      <c r="D96" s="700"/>
      <c r="E96" s="67"/>
      <c r="F96" s="586">
        <f>I96*'24 Mini-Split Air Handler Notes'!D41+$D$95*'19 General Wages'!T13</f>
        <v>994.42517688459532</v>
      </c>
      <c r="G96" s="256"/>
      <c r="H96" s="955" t="s">
        <v>34</v>
      </c>
      <c r="I96" s="794">
        <f>$G$101*'19 General Wages'!T13</f>
        <v>254.62789996352961</v>
      </c>
      <c r="J96" s="1216"/>
      <c r="K96" s="1217"/>
      <c r="L96" s="1217"/>
      <c r="M96" s="1217"/>
      <c r="N96" s="1217"/>
      <c r="O96" s="1217"/>
      <c r="P96" s="1217"/>
      <c r="Q96" s="20"/>
    </row>
    <row r="97" spans="1:17" ht="15.75" x14ac:dyDescent="0.25">
      <c r="A97" s="17"/>
      <c r="B97" s="24"/>
      <c r="C97" s="24"/>
      <c r="D97" s="700"/>
      <c r="E97" s="242"/>
      <c r="F97" s="586">
        <f>I97*'24 Mini-Split Air Handler Notes'!D42+$D$95*'19 General Wages'!T14</f>
        <v>685.23259074629198</v>
      </c>
      <c r="G97" s="256"/>
      <c r="H97" s="955" t="s">
        <v>20</v>
      </c>
      <c r="I97" s="794">
        <f>$G$101*'19 General Wages'!T14</f>
        <v>235.84749634988654</v>
      </c>
      <c r="J97" s="1216"/>
      <c r="K97" s="1217"/>
      <c r="L97" s="1217"/>
      <c r="M97" s="1217"/>
      <c r="N97" s="1217"/>
      <c r="O97" s="1217"/>
      <c r="P97" s="1217"/>
      <c r="Q97" s="14"/>
    </row>
    <row r="98" spans="1:17" ht="15.75" x14ac:dyDescent="0.25">
      <c r="A98" s="17"/>
      <c r="B98" s="24"/>
      <c r="C98" s="24"/>
      <c r="D98" s="700"/>
      <c r="E98" s="242"/>
      <c r="F98" s="586">
        <f>I98*'24 Mini-Split Air Handler Notes'!D43+$D$95*'19 General Wages'!T15</f>
        <v>728.02406242691325</v>
      </c>
      <c r="G98" s="256"/>
      <c r="H98" s="955" t="s">
        <v>27</v>
      </c>
      <c r="I98" s="794">
        <f>$G$101*'19 General Wages'!T15</f>
        <v>250.57572381205387</v>
      </c>
      <c r="J98" s="1216"/>
      <c r="K98" s="1217"/>
      <c r="L98" s="1217"/>
      <c r="M98" s="1217"/>
      <c r="N98" s="1217"/>
      <c r="O98" s="1217"/>
      <c r="P98" s="1217"/>
      <c r="Q98" s="14"/>
    </row>
    <row r="99" spans="1:17" ht="15.75" x14ac:dyDescent="0.25">
      <c r="A99" s="17"/>
      <c r="B99" s="24"/>
      <c r="C99" s="24"/>
      <c r="D99" s="700"/>
      <c r="E99" s="242"/>
      <c r="F99" s="586">
        <f>I99*'24 Mini-Split Air Handler Notes'!D44+$D$95*'19 General Wages'!T16</f>
        <v>770.92511554141788</v>
      </c>
      <c r="G99" s="256"/>
      <c r="H99" s="955" t="s">
        <v>25</v>
      </c>
      <c r="I99" s="794">
        <f>$G$101*'19 General Wages'!T16</f>
        <v>265.34166767472055</v>
      </c>
      <c r="J99" s="1216"/>
      <c r="K99" s="1217"/>
      <c r="L99" s="1217"/>
      <c r="M99" s="1217"/>
      <c r="N99" s="1217"/>
      <c r="O99" s="1217"/>
      <c r="P99" s="1217"/>
      <c r="Q99" s="14"/>
    </row>
    <row r="100" spans="1:17" ht="15.75" x14ac:dyDescent="0.25">
      <c r="A100" s="17"/>
      <c r="B100" s="24"/>
      <c r="C100" s="24"/>
      <c r="D100" s="700"/>
      <c r="E100" s="242"/>
      <c r="F100" s="586">
        <f>I100*'24 Mini-Split Air Handler Notes'!D45+$D$95*'19 General Wages'!T17</f>
        <v>947.71409811091053</v>
      </c>
      <c r="G100" s="256"/>
      <c r="H100" s="955" t="s">
        <v>23</v>
      </c>
      <c r="I100" s="794">
        <f>$G$101*'19 General Wages'!T17</f>
        <v>326.18996865212733</v>
      </c>
      <c r="Q100" s="14"/>
    </row>
    <row r="101" spans="1:17" ht="15.75" x14ac:dyDescent="0.25">
      <c r="A101" s="16"/>
      <c r="B101" s="159"/>
      <c r="C101" s="159"/>
      <c r="D101" s="700"/>
      <c r="E101" s="67"/>
      <c r="F101" s="586">
        <f>$G$101*'24 Mini-Split Air Handler Notes'!D46+$D$95*'19 General Wages'!T18</f>
        <v>924.90419123301729</v>
      </c>
      <c r="G101" s="586">
        <f>SUM(D93:D94)</f>
        <v>277.5</v>
      </c>
      <c r="H101" s="242" t="s">
        <v>151</v>
      </c>
      <c r="I101" s="586">
        <f>$G$101*'19 General Wages'!T18</f>
        <v>277.5</v>
      </c>
      <c r="Q101" s="39"/>
    </row>
    <row r="102" spans="1:17" ht="15.75" x14ac:dyDescent="0.25">
      <c r="A102" s="16"/>
      <c r="B102" s="159"/>
      <c r="C102" s="159"/>
      <c r="D102" s="700"/>
      <c r="E102" s="67"/>
      <c r="F102" s="259" t="s">
        <v>1211</v>
      </c>
      <c r="G102" s="341" t="s">
        <v>406</v>
      </c>
      <c r="H102" s="255"/>
      <c r="I102" s="795" t="s">
        <v>406</v>
      </c>
      <c r="Q102" s="39"/>
    </row>
    <row r="103" spans="1:17" ht="15.75" x14ac:dyDescent="0.25">
      <c r="A103" s="11" t="s">
        <v>416</v>
      </c>
      <c r="B103" s="24"/>
      <c r="C103" s="24"/>
      <c r="D103" s="700"/>
      <c r="E103" s="242"/>
      <c r="F103" s="1221" t="s">
        <v>83</v>
      </c>
      <c r="G103" s="1222"/>
      <c r="H103" s="1222"/>
      <c r="I103" s="1223"/>
      <c r="J103" s="15" t="s">
        <v>171</v>
      </c>
      <c r="Q103" s="39"/>
    </row>
    <row r="104" spans="1:17" ht="15.75" x14ac:dyDescent="0.25">
      <c r="A104" s="17" t="s">
        <v>149</v>
      </c>
      <c r="B104" s="24"/>
      <c r="C104" s="24"/>
      <c r="D104" s="700"/>
      <c r="E104" s="242"/>
      <c r="F104" s="586">
        <f>$G$113*'19 General Wages'!T9</f>
        <v>855.7785000878597</v>
      </c>
      <c r="H104" s="955" t="s">
        <v>32</v>
      </c>
      <c r="I104" s="260"/>
      <c r="J104" s="519" t="s">
        <v>1208</v>
      </c>
      <c r="Q104" s="39"/>
    </row>
    <row r="105" spans="1:17" ht="15.75" x14ac:dyDescent="0.25">
      <c r="A105" s="18" t="s">
        <v>938</v>
      </c>
      <c r="B105" s="159"/>
      <c r="C105" s="159"/>
      <c r="D105" s="700"/>
      <c r="E105" s="67"/>
      <c r="F105" s="586">
        <f>$G$113*'19 General Wages'!T10</f>
        <v>816.43522104901797</v>
      </c>
      <c r="G105" s="256"/>
      <c r="H105" s="955" t="s">
        <v>60</v>
      </c>
      <c r="I105" s="257"/>
      <c r="J105" s="39"/>
    </row>
    <row r="106" spans="1:17" ht="15.75" x14ac:dyDescent="0.25">
      <c r="A106" s="18" t="s">
        <v>1342</v>
      </c>
      <c r="B106" s="411">
        <v>500</v>
      </c>
      <c r="C106" s="411">
        <v>1000</v>
      </c>
      <c r="D106" s="700">
        <f>AVERAGE(B106:C106)</f>
        <v>750</v>
      </c>
      <c r="E106" s="67"/>
      <c r="F106" s="586">
        <f>$G$113*'19 General Wages'!T11</f>
        <v>767.21951374112587</v>
      </c>
      <c r="G106" s="256"/>
      <c r="H106" s="955" t="s">
        <v>41</v>
      </c>
      <c r="I106" s="257"/>
      <c r="J106" s="39"/>
      <c r="Q106" s="20"/>
    </row>
    <row r="107" spans="1:17" ht="15.75" x14ac:dyDescent="0.25">
      <c r="A107" s="18"/>
      <c r="B107" s="411"/>
      <c r="C107" s="411"/>
      <c r="D107" s="700"/>
      <c r="E107" s="67"/>
      <c r="F107" s="586">
        <f>$G$113*'19 General Wages'!T12</f>
        <v>768.3524626635932</v>
      </c>
      <c r="G107" s="256"/>
      <c r="H107" s="955" t="s">
        <v>44</v>
      </c>
      <c r="I107" s="260"/>
      <c r="Q107" s="14"/>
    </row>
    <row r="108" spans="1:17" ht="15.75" x14ac:dyDescent="0.25">
      <c r="A108" s="18"/>
      <c r="B108" s="411"/>
      <c r="C108" s="411"/>
      <c r="D108" s="700"/>
      <c r="E108" s="67"/>
      <c r="F108" s="586">
        <f>$G$113*'19 General Wages'!T13</f>
        <v>688.18351341494485</v>
      </c>
      <c r="G108" s="256"/>
      <c r="H108" s="955" t="s">
        <v>34</v>
      </c>
      <c r="I108" s="260"/>
      <c r="Q108" s="15"/>
    </row>
    <row r="109" spans="1:17" ht="15.75" x14ac:dyDescent="0.25">
      <c r="A109" s="18"/>
      <c r="B109" s="159"/>
      <c r="C109" s="159"/>
      <c r="D109" s="700"/>
      <c r="E109" s="67"/>
      <c r="F109" s="586">
        <f>$G$113*'19 General Wages'!T14</f>
        <v>637.42566581050414</v>
      </c>
      <c r="G109" s="256"/>
      <c r="H109" s="955" t="s">
        <v>20</v>
      </c>
      <c r="I109" s="260"/>
      <c r="Q109" s="39"/>
    </row>
    <row r="110" spans="1:17" ht="15.75" x14ac:dyDescent="0.25">
      <c r="A110" s="17"/>
      <c r="B110" s="24"/>
      <c r="C110" s="24"/>
      <c r="D110" s="700"/>
      <c r="E110" s="242"/>
      <c r="F110" s="586">
        <f>$G$113*'19 General Wages'!T15</f>
        <v>677.23168597852396</v>
      </c>
      <c r="G110" s="256"/>
      <c r="H110" s="955" t="s">
        <v>27</v>
      </c>
      <c r="I110" s="260"/>
      <c r="Q110" s="39"/>
    </row>
    <row r="111" spans="1:17" ht="15.75" x14ac:dyDescent="0.25">
      <c r="A111" s="17"/>
      <c r="B111" s="24"/>
      <c r="C111" s="24"/>
      <c r="D111" s="700"/>
      <c r="E111" s="242"/>
      <c r="F111" s="586">
        <f>$G$113*'19 General Wages'!T16</f>
        <v>717.1396423641097</v>
      </c>
      <c r="G111" s="256"/>
      <c r="H111" s="955" t="s">
        <v>25</v>
      </c>
      <c r="I111" s="260"/>
      <c r="Q111" s="39"/>
    </row>
    <row r="112" spans="1:17" ht="15.75" x14ac:dyDescent="0.25">
      <c r="A112" s="17"/>
      <c r="B112" s="24"/>
      <c r="C112" s="24"/>
      <c r="D112" s="700"/>
      <c r="E112" s="242"/>
      <c r="F112" s="586">
        <f>$G$113*'19 General Wages'!T17</f>
        <v>881.59450987061439</v>
      </c>
      <c r="G112" s="256"/>
      <c r="H112" s="955" t="s">
        <v>23</v>
      </c>
      <c r="I112" s="257"/>
      <c r="Q112" s="39"/>
    </row>
    <row r="113" spans="1:17" ht="15.75" x14ac:dyDescent="0.25">
      <c r="A113" s="17"/>
      <c r="B113" s="24"/>
      <c r="C113" s="24"/>
      <c r="D113" s="700"/>
      <c r="E113" s="242"/>
      <c r="F113" s="586">
        <f>$G$113*'19 General Wages'!T18</f>
        <v>750</v>
      </c>
      <c r="G113" s="586">
        <f>SUM(D106)</f>
        <v>750</v>
      </c>
      <c r="H113" s="242" t="s">
        <v>151</v>
      </c>
      <c r="I113" s="256"/>
      <c r="Q113" s="39"/>
    </row>
    <row r="114" spans="1:17" ht="15.75" x14ac:dyDescent="0.25">
      <c r="A114" s="16"/>
      <c r="B114" s="159"/>
      <c r="C114" s="159"/>
      <c r="D114" s="700"/>
      <c r="E114" s="67"/>
      <c r="F114" s="259"/>
      <c r="G114" s="256"/>
      <c r="H114" s="255"/>
      <c r="I114" s="257"/>
    </row>
    <row r="115" spans="1:17" ht="15.75" x14ac:dyDescent="0.25">
      <c r="A115" s="11" t="s">
        <v>417</v>
      </c>
      <c r="B115" s="24"/>
      <c r="C115" s="24"/>
      <c r="D115" s="700"/>
      <c r="E115" s="242"/>
      <c r="F115" s="1221" t="s">
        <v>1213</v>
      </c>
      <c r="G115" s="1222"/>
      <c r="H115" s="1222"/>
      <c r="I115" s="1223"/>
      <c r="J115" s="15" t="s">
        <v>171</v>
      </c>
    </row>
    <row r="116" spans="1:17" ht="15.75" x14ac:dyDescent="0.25">
      <c r="A116" s="17" t="s">
        <v>149</v>
      </c>
      <c r="B116" s="24"/>
      <c r="C116" s="24"/>
      <c r="D116" s="700"/>
      <c r="E116" s="242"/>
      <c r="F116" s="586">
        <f>$G$125*'19 General Wages'!T9</f>
        <v>1511.8753501552189</v>
      </c>
      <c r="H116" s="955" t="s">
        <v>32</v>
      </c>
      <c r="I116" s="260"/>
      <c r="J116" s="161" t="s">
        <v>410</v>
      </c>
    </row>
    <row r="117" spans="1:17" ht="15.75" x14ac:dyDescent="0.25">
      <c r="A117" s="18" t="s">
        <v>881</v>
      </c>
      <c r="B117" s="411">
        <v>25</v>
      </c>
      <c r="C117" s="411">
        <v>75</v>
      </c>
      <c r="D117" s="700">
        <f>AVERAGE(25,75)</f>
        <v>50</v>
      </c>
      <c r="E117" s="67"/>
      <c r="F117" s="586">
        <f>$G$125*'19 General Wages'!T10</f>
        <v>1442.3688905199317</v>
      </c>
      <c r="G117" s="256"/>
      <c r="H117" s="955" t="s">
        <v>60</v>
      </c>
      <c r="I117" s="257"/>
      <c r="J117" s="39"/>
    </row>
    <row r="118" spans="1:17" ht="15.75" x14ac:dyDescent="0.25">
      <c r="A118" s="18" t="s">
        <v>882</v>
      </c>
      <c r="B118" s="411">
        <v>150</v>
      </c>
      <c r="C118" s="411">
        <v>400</v>
      </c>
      <c r="D118" s="700">
        <f>AVERAGE(150,400)</f>
        <v>275</v>
      </c>
      <c r="E118" s="67"/>
      <c r="F118" s="586">
        <f>$G$125*'19 General Wages'!T11</f>
        <v>1355.4211409426557</v>
      </c>
      <c r="G118" s="256"/>
      <c r="H118" s="955" t="s">
        <v>41</v>
      </c>
      <c r="I118" s="257"/>
      <c r="J118" s="39"/>
    </row>
    <row r="119" spans="1:17" ht="15.75" x14ac:dyDescent="0.25">
      <c r="A119" s="18" t="s">
        <v>409</v>
      </c>
      <c r="B119" s="411">
        <v>100</v>
      </c>
      <c r="C119" s="411">
        <v>1500</v>
      </c>
      <c r="D119" s="700">
        <f>AVERAGE(100,1500)</f>
        <v>800</v>
      </c>
      <c r="E119" s="67"/>
      <c r="F119" s="586">
        <f>$G$125*'19 General Wages'!T12</f>
        <v>1357.4226840390147</v>
      </c>
      <c r="G119" s="256"/>
      <c r="H119" s="955" t="s">
        <v>44</v>
      </c>
      <c r="I119" s="260"/>
    </row>
    <row r="120" spans="1:17" ht="15.75" x14ac:dyDescent="0.25">
      <c r="A120" s="266" t="s">
        <v>878</v>
      </c>
      <c r="B120" s="411">
        <v>200</v>
      </c>
      <c r="C120" s="411">
        <v>200</v>
      </c>
      <c r="D120" s="700">
        <v>200</v>
      </c>
      <c r="E120" s="242"/>
      <c r="F120" s="586">
        <f>$G$125*'19 General Wages'!T13</f>
        <v>1215.790873699736</v>
      </c>
      <c r="G120" s="256"/>
      <c r="H120" s="955" t="s">
        <v>34</v>
      </c>
      <c r="I120" s="260"/>
    </row>
    <row r="121" spans="1:17" ht="15.75" x14ac:dyDescent="0.25">
      <c r="A121" s="17"/>
      <c r="B121" s="24"/>
      <c r="C121" s="24"/>
      <c r="D121" s="700"/>
      <c r="E121" s="242"/>
      <c r="F121" s="586">
        <f>$G$125*'19 General Wages'!T14</f>
        <v>1126.1186762652239</v>
      </c>
      <c r="G121" s="256"/>
      <c r="H121" s="955" t="s">
        <v>20</v>
      </c>
      <c r="I121" s="260"/>
    </row>
    <row r="122" spans="1:17" ht="15.75" x14ac:dyDescent="0.25">
      <c r="A122" s="17"/>
      <c r="B122" s="24"/>
      <c r="C122" s="24"/>
      <c r="D122" s="700"/>
      <c r="E122" s="242"/>
      <c r="F122" s="586">
        <f>$G$125*'19 General Wages'!T15</f>
        <v>1196.4426452287255</v>
      </c>
      <c r="G122" s="256"/>
      <c r="H122" s="955" t="s">
        <v>27</v>
      </c>
      <c r="I122" s="257"/>
    </row>
    <row r="123" spans="1:17" ht="15.75" x14ac:dyDescent="0.25">
      <c r="A123" s="17"/>
      <c r="B123" s="24"/>
      <c r="C123" s="24"/>
      <c r="D123" s="700"/>
      <c r="E123" s="242"/>
      <c r="F123" s="586">
        <f>$G$125*'19 General Wages'!T16</f>
        <v>1266.9467015099272</v>
      </c>
      <c r="G123" s="256"/>
      <c r="H123" s="955" t="s">
        <v>25</v>
      </c>
      <c r="I123" s="257"/>
    </row>
    <row r="124" spans="1:17" ht="15.75" x14ac:dyDescent="0.25">
      <c r="A124" s="17"/>
      <c r="B124" s="24"/>
      <c r="C124" s="24"/>
      <c r="D124" s="700"/>
      <c r="E124" s="242"/>
      <c r="F124" s="586">
        <f>$G$125*'19 General Wages'!T17</f>
        <v>1557.4836341047521</v>
      </c>
      <c r="G124" s="256"/>
      <c r="H124" s="955" t="s">
        <v>23</v>
      </c>
      <c r="I124" s="257"/>
    </row>
    <row r="125" spans="1:17" ht="15.75" x14ac:dyDescent="0.25">
      <c r="A125" s="17"/>
      <c r="B125" s="24"/>
      <c r="C125" s="24"/>
      <c r="D125" s="700"/>
      <c r="E125" s="242"/>
      <c r="F125" s="586">
        <f>$G$125*'19 General Wages'!T18</f>
        <v>1325</v>
      </c>
      <c r="G125" s="586">
        <f>SUM(D117:D120)</f>
        <v>1325</v>
      </c>
      <c r="H125" s="242" t="s">
        <v>151</v>
      </c>
      <c r="I125" s="256"/>
    </row>
    <row r="126" spans="1:17" ht="15.75" x14ac:dyDescent="0.25">
      <c r="A126" s="16"/>
      <c r="B126" s="159"/>
      <c r="C126" s="159"/>
      <c r="D126" s="700"/>
      <c r="E126" s="67"/>
      <c r="F126" s="259"/>
      <c r="G126" s="256"/>
      <c r="H126" s="255"/>
      <c r="I126" s="257"/>
    </row>
    <row r="127" spans="1:17" ht="15.75" x14ac:dyDescent="0.25">
      <c r="A127" s="11" t="s">
        <v>87</v>
      </c>
      <c r="B127" s="24"/>
      <c r="C127" s="24"/>
      <c r="D127" s="700"/>
      <c r="E127" s="242"/>
      <c r="F127" s="1221" t="s">
        <v>345</v>
      </c>
      <c r="G127" s="1222"/>
      <c r="H127" s="1222"/>
      <c r="I127" s="1223"/>
      <c r="J127" s="15" t="s">
        <v>171</v>
      </c>
    </row>
    <row r="128" spans="1:17" ht="15.75" x14ac:dyDescent="0.25">
      <c r="A128" s="17" t="s">
        <v>149</v>
      </c>
      <c r="B128" s="24"/>
      <c r="C128" s="24"/>
      <c r="D128" s="700"/>
      <c r="E128" s="242"/>
      <c r="F128" s="586">
        <f>$G$137*'19 General Wages'!T9</f>
        <v>3423.1140003514388</v>
      </c>
      <c r="H128" s="955" t="s">
        <v>32</v>
      </c>
      <c r="I128" s="260"/>
      <c r="J128" s="161" t="s">
        <v>414</v>
      </c>
    </row>
    <row r="129" spans="1:10" ht="15.75" x14ac:dyDescent="0.25">
      <c r="A129" s="18" t="s">
        <v>1200</v>
      </c>
      <c r="B129" s="411">
        <v>2000</v>
      </c>
      <c r="C129" s="411">
        <v>4000</v>
      </c>
      <c r="D129" s="700">
        <f>AVERAGE(B129:C129)</f>
        <v>3000</v>
      </c>
      <c r="E129" s="67"/>
      <c r="F129" s="586">
        <f>$G$137*'19 General Wages'!T10</f>
        <v>3265.7408841960719</v>
      </c>
      <c r="G129" s="256"/>
      <c r="H129" s="955" t="s">
        <v>60</v>
      </c>
      <c r="I129" s="257"/>
      <c r="J129" s="39"/>
    </row>
    <row r="130" spans="1:10" ht="15.75" x14ac:dyDescent="0.25">
      <c r="A130" s="18" t="s">
        <v>411</v>
      </c>
      <c r="B130" s="159"/>
      <c r="C130" s="159"/>
      <c r="E130" s="67"/>
      <c r="F130" s="586">
        <f>$G$137*'19 General Wages'!T11</f>
        <v>3068.8780549645035</v>
      </c>
      <c r="G130" s="256"/>
      <c r="H130" s="955" t="s">
        <v>41</v>
      </c>
      <c r="I130" s="257"/>
      <c r="J130" s="39"/>
    </row>
    <row r="131" spans="1:10" ht="15.75" x14ac:dyDescent="0.25">
      <c r="A131" s="18" t="s">
        <v>412</v>
      </c>
      <c r="B131" s="159"/>
      <c r="C131" s="159"/>
      <c r="E131" s="67"/>
      <c r="F131" s="586">
        <f>$G$137*'19 General Wages'!T12</f>
        <v>3073.4098506543728</v>
      </c>
      <c r="G131" s="256"/>
      <c r="H131" s="955" t="s">
        <v>44</v>
      </c>
      <c r="I131" s="260"/>
    </row>
    <row r="132" spans="1:10" ht="15.75" x14ac:dyDescent="0.25">
      <c r="A132" s="18" t="s">
        <v>413</v>
      </c>
      <c r="B132" s="159"/>
      <c r="C132" s="159"/>
      <c r="E132" s="67"/>
      <c r="F132" s="586">
        <f>$G$137*'19 General Wages'!T13</f>
        <v>2752.7340536597794</v>
      </c>
      <c r="G132" s="256"/>
      <c r="H132" s="955" t="s">
        <v>34</v>
      </c>
      <c r="I132" s="260"/>
    </row>
    <row r="133" spans="1:10" ht="15.75" x14ac:dyDescent="0.25">
      <c r="A133" s="266" t="s">
        <v>879</v>
      </c>
      <c r="B133" s="159"/>
      <c r="C133" s="159"/>
      <c r="E133" s="242"/>
      <c r="F133" s="586">
        <f>$G$137*'19 General Wages'!T14</f>
        <v>2549.7026632420166</v>
      </c>
      <c r="G133" s="256"/>
      <c r="H133" s="955" t="s">
        <v>20</v>
      </c>
      <c r="I133" s="260"/>
    </row>
    <row r="134" spans="1:10" ht="15.75" x14ac:dyDescent="0.25">
      <c r="A134" s="8" t="s">
        <v>883</v>
      </c>
      <c r="B134" s="158"/>
      <c r="C134" s="158"/>
      <c r="E134" s="493"/>
      <c r="F134" s="586">
        <f>$G$137*'19 General Wages'!T15</f>
        <v>2708.9267439140958</v>
      </c>
      <c r="G134" s="256"/>
      <c r="H134" s="955" t="s">
        <v>27</v>
      </c>
      <c r="I134" s="260"/>
    </row>
    <row r="135" spans="1:10" ht="15.75" x14ac:dyDescent="0.25">
      <c r="B135" s="158"/>
      <c r="C135" s="158"/>
      <c r="E135" s="493"/>
      <c r="F135" s="586">
        <f>$G$137*'19 General Wages'!T16</f>
        <v>2868.5585694564388</v>
      </c>
      <c r="G135" s="256"/>
      <c r="H135" s="955" t="s">
        <v>25</v>
      </c>
      <c r="I135" s="257"/>
    </row>
    <row r="136" spans="1:10" ht="15.75" x14ac:dyDescent="0.25">
      <c r="B136" s="158"/>
      <c r="C136" s="158"/>
      <c r="E136" s="493"/>
      <c r="F136" s="586">
        <f>$G$137*'19 General Wages'!T17</f>
        <v>3526.3780394824576</v>
      </c>
      <c r="G136" s="256"/>
      <c r="H136" s="955" t="s">
        <v>23</v>
      </c>
      <c r="I136" s="258"/>
    </row>
    <row r="137" spans="1:10" x14ac:dyDescent="0.25">
      <c r="B137" s="158"/>
      <c r="C137" s="158"/>
      <c r="E137" s="493"/>
      <c r="F137" s="587">
        <f>$G$137*'19 General Wages'!T18</f>
        <v>3000</v>
      </c>
      <c r="G137" s="587">
        <f>D129</f>
        <v>3000</v>
      </c>
      <c r="H137" s="956" t="s">
        <v>151</v>
      </c>
      <c r="I137" s="291"/>
    </row>
    <row r="138" spans="1:10" ht="15.75" x14ac:dyDescent="0.25">
      <c r="F138" s="253"/>
      <c r="G138" s="254"/>
      <c r="H138" s="159"/>
      <c r="I138" s="158"/>
    </row>
  </sheetData>
  <mergeCells count="16">
    <mergeCell ref="J95:P99"/>
    <mergeCell ref="R1:R3"/>
    <mergeCell ref="A1:A2"/>
    <mergeCell ref="F127:I127"/>
    <mergeCell ref="F55:I55"/>
    <mergeCell ref="F67:I67"/>
    <mergeCell ref="F79:I79"/>
    <mergeCell ref="F91:I91"/>
    <mergeCell ref="F103:I103"/>
    <mergeCell ref="F115:I115"/>
    <mergeCell ref="F43:I43"/>
    <mergeCell ref="F3:I3"/>
    <mergeCell ref="F4:I4"/>
    <mergeCell ref="F7:I7"/>
    <mergeCell ref="F19:I19"/>
    <mergeCell ref="F31:I31"/>
  </mergeCells>
  <hyperlinks>
    <hyperlink ref="J8" r:id="rId1" xr:uid="{5F9C904E-9DC0-426D-92A5-92060216F8D1}"/>
    <hyperlink ref="J9" r:id="rId2" xr:uid="{0C0632A7-12C3-47F4-8EDD-8621EEBBD1C0}"/>
    <hyperlink ref="A4" location="'19 General Wages'!S7" display="Due to the difficulty to consistently separate labor hours another other flat costs a National Wage Index was created and used." xr:uid="{2A63AA46-3AB6-4266-B4EE-651A12C05DF4}"/>
    <hyperlink ref="J20" r:id="rId3" xr:uid="{305D2A8E-089C-4735-9B8C-29E7D9E861FD}"/>
    <hyperlink ref="J32" r:id="rId4" xr:uid="{18A171BE-D4A3-4D8C-AD73-912B6A86C522}"/>
    <hyperlink ref="J33" r:id="rId5" xr:uid="{F4F798E6-D376-4F2D-A5B2-3854B479083B}"/>
    <hyperlink ref="J21" r:id="rId6" xr:uid="{8A936AAD-C269-4728-B62C-0C5541C93A0B}"/>
    <hyperlink ref="J44" r:id="rId7" xr:uid="{12BAD179-FAA5-4004-904E-3B8701102520}"/>
    <hyperlink ref="J45" r:id="rId8" xr:uid="{112E61C8-14BB-4F07-A7F1-4C82ED4348B3}"/>
    <hyperlink ref="J68" r:id="rId9" xr:uid="{1C9B0796-0588-4CFA-B377-45D80D870DBF}"/>
    <hyperlink ref="J93" r:id="rId10" xr:uid="{6C41F134-75B1-4E53-9429-39E7E9C8E8AD}"/>
    <hyperlink ref="J116" r:id="rId11" xr:uid="{E532FCA7-8D4E-42B4-B9DF-96436B49ECC4}"/>
    <hyperlink ref="J128" r:id="rId12" xr:uid="{688CE9C4-1650-4ADA-9296-159A6F490334}"/>
    <hyperlink ref="J56" r:id="rId13" xr:uid="{F819D419-CFC3-4FBC-A472-6F672CC1906E}"/>
    <hyperlink ref="J80" r:id="rId14" xr:uid="{DACC8EF9-B764-46D8-8508-37FE57844211}"/>
    <hyperlink ref="J92" r:id="rId15" xr:uid="{8028B234-D732-4D8A-B701-ABB02FEA40BB}"/>
    <hyperlink ref="J104" r:id="rId16" xr:uid="{7DAC548E-C658-44B8-BC56-97989B21CD4B}"/>
    <hyperlink ref="J94" r:id="rId17" xr:uid="{F6356589-AB6A-4232-8CBF-74F9002F012C}"/>
    <hyperlink ref="J10" r:id="rId18" xr:uid="{9794AB92-F591-45D4-A02B-BDA949099EB4}"/>
  </hyperlinks>
  <pageMargins left="0.7" right="0.7" top="0.75" bottom="0.75" header="0.3" footer="0.3"/>
  <pageSetup orientation="portrait" r:id="rId19"/>
  <drawing r:id="rId2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F2666-7DD4-47B9-8303-88D45E0C8C80}">
  <sheetPr codeName="Sheet29">
    <tabColor theme="3" tint="0.499984740745262"/>
  </sheetPr>
  <dimension ref="A1:AF221"/>
  <sheetViews>
    <sheetView zoomScale="55" zoomScaleNormal="55" workbookViewId="0">
      <selection sqref="A1:C1"/>
    </sheetView>
  </sheetViews>
  <sheetFormatPr defaultColWidth="9.140625" defaultRowHeight="15" x14ac:dyDescent="0.25"/>
  <cols>
    <col min="1" max="1" width="47.140625" style="5" customWidth="1"/>
    <col min="2" max="2" width="23.5703125" style="5" customWidth="1"/>
    <col min="3" max="3" width="19.5703125" style="5" customWidth="1"/>
    <col min="4" max="4" width="25.7109375" style="5" customWidth="1"/>
    <col min="5" max="5" width="30.7109375" style="5" customWidth="1"/>
    <col min="6" max="10" width="40.7109375" style="5" customWidth="1"/>
    <col min="11" max="11" width="35.7109375" style="5" customWidth="1"/>
    <col min="12" max="12" width="25.7109375" style="5" customWidth="1"/>
    <col min="13" max="18" width="40.7109375" style="5" customWidth="1"/>
    <col min="19" max="20" width="25.7109375" style="5" customWidth="1"/>
    <col min="21" max="21" width="27.7109375" style="5" customWidth="1"/>
    <col min="22" max="26" width="40.7109375" style="5" customWidth="1"/>
    <col min="27" max="33" width="35.7109375" style="5" customWidth="1"/>
    <col min="34" max="34" width="22.7109375" style="5" customWidth="1"/>
    <col min="35" max="35" width="30.7109375" style="5" customWidth="1"/>
    <col min="36" max="45" width="35.7109375" style="5" customWidth="1"/>
    <col min="46" max="16384" width="9.140625" style="5"/>
  </cols>
  <sheetData>
    <row r="1" spans="1:26" ht="113.25" customHeight="1" x14ac:dyDescent="0.25">
      <c r="A1" s="1264" t="s">
        <v>515</v>
      </c>
      <c r="B1" s="1264"/>
      <c r="C1" s="1264"/>
      <c r="D1" s="1265" t="s">
        <v>1626</v>
      </c>
      <c r="E1" s="1265"/>
      <c r="H1" s="395"/>
      <c r="I1" s="395"/>
      <c r="J1" s="167"/>
      <c r="P1" s="1172" t="s">
        <v>516</v>
      </c>
      <c r="Q1" s="57"/>
    </row>
    <row r="2" spans="1:26" ht="15" customHeight="1" x14ac:dyDescent="0.25">
      <c r="H2" s="395"/>
      <c r="I2" s="395"/>
      <c r="J2" s="320"/>
      <c r="P2" s="1173"/>
      <c r="Q2" s="57"/>
    </row>
    <row r="3" spans="1:26" ht="17.45" customHeight="1" x14ac:dyDescent="0.25">
      <c r="D3" s="768" t="s">
        <v>255</v>
      </c>
      <c r="E3" s="79"/>
      <c r="H3" s="395"/>
      <c r="I3" s="395"/>
      <c r="P3" s="1174"/>
      <c r="Q3" s="57"/>
    </row>
    <row r="4" spans="1:26" ht="33" customHeight="1" x14ac:dyDescent="0.25">
      <c r="D4" s="769"/>
      <c r="E4" s="1266" t="s">
        <v>940</v>
      </c>
      <c r="F4" s="1266"/>
      <c r="H4" s="395"/>
      <c r="I4" s="395"/>
    </row>
    <row r="5" spans="1:26" ht="21" customHeight="1" thickBot="1" x14ac:dyDescent="0.35">
      <c r="D5" s="397"/>
      <c r="E5" s="1267"/>
      <c r="F5" s="1267"/>
      <c r="H5" s="395"/>
      <c r="I5" s="395"/>
    </row>
    <row r="6" spans="1:26" ht="180" customHeight="1" x14ac:dyDescent="0.25">
      <c r="A6" s="664" t="s">
        <v>525</v>
      </c>
      <c r="B6" s="903" t="s">
        <v>1239</v>
      </c>
      <c r="C6" s="680"/>
      <c r="D6" s="1107" t="s">
        <v>1184</v>
      </c>
      <c r="E6" s="1108"/>
      <c r="F6" s="1108"/>
      <c r="G6" s="1108"/>
      <c r="H6" s="1108"/>
      <c r="I6" s="1108"/>
      <c r="J6" s="1109"/>
      <c r="K6"/>
      <c r="L6" s="1107" t="s">
        <v>1185</v>
      </c>
      <c r="M6" s="1108"/>
      <c r="N6" s="1108"/>
      <c r="O6" s="1108"/>
      <c r="P6" s="1108"/>
      <c r="Q6" s="1108"/>
      <c r="R6" s="1109"/>
      <c r="S6"/>
      <c r="T6" s="1107" t="s">
        <v>1186</v>
      </c>
      <c r="U6" s="1108"/>
      <c r="V6" s="1108"/>
      <c r="W6" s="1108"/>
      <c r="X6" s="1108"/>
      <c r="Y6" s="1108"/>
      <c r="Z6" s="1109"/>
    </row>
    <row r="7" spans="1:26" ht="79.900000000000006" customHeight="1" x14ac:dyDescent="0.25">
      <c r="A7" s="90" t="s">
        <v>1291</v>
      </c>
      <c r="B7" s="1269" t="s">
        <v>138</v>
      </c>
      <c r="C7" s="1270"/>
      <c r="D7" s="1110" t="s">
        <v>977</v>
      </c>
      <c r="E7" s="1111"/>
      <c r="F7" s="1116" t="s">
        <v>951</v>
      </c>
      <c r="G7" s="1117"/>
      <c r="H7" s="1117"/>
      <c r="I7" s="1117"/>
      <c r="J7" s="1118"/>
      <c r="K7"/>
      <c r="L7" s="1110" t="s">
        <v>977</v>
      </c>
      <c r="M7" s="1111"/>
      <c r="N7" s="1116" t="s">
        <v>951</v>
      </c>
      <c r="O7" s="1117"/>
      <c r="P7" s="1117"/>
      <c r="Q7" s="1117"/>
      <c r="R7" s="1118"/>
      <c r="S7"/>
      <c r="T7" s="1110" t="s">
        <v>977</v>
      </c>
      <c r="U7" s="1111"/>
      <c r="V7" s="1116" t="s">
        <v>951</v>
      </c>
      <c r="W7" s="1117"/>
      <c r="X7" s="1117"/>
      <c r="Y7" s="1117"/>
      <c r="Z7" s="1118"/>
    </row>
    <row r="8" spans="1:26" ht="96" customHeight="1" x14ac:dyDescent="0.25">
      <c r="A8" s="665" t="s">
        <v>1183</v>
      </c>
      <c r="B8" s="28" t="s">
        <v>6</v>
      </c>
      <c r="C8" s="893">
        <f>'25 Markup Notes'!C14</f>
        <v>0.25</v>
      </c>
      <c r="D8" s="1112"/>
      <c r="E8" s="1113"/>
      <c r="F8" s="1121" t="s">
        <v>246</v>
      </c>
      <c r="G8" s="1121" t="s">
        <v>244</v>
      </c>
      <c r="H8" s="1121" t="s">
        <v>86</v>
      </c>
      <c r="I8" s="1121" t="s">
        <v>242</v>
      </c>
      <c r="J8" s="1123" t="s">
        <v>172</v>
      </c>
      <c r="K8"/>
      <c r="L8" s="1112"/>
      <c r="M8" s="1113"/>
      <c r="N8" s="1121" t="s">
        <v>246</v>
      </c>
      <c r="O8" s="1121" t="s">
        <v>244</v>
      </c>
      <c r="P8" s="1121" t="s">
        <v>86</v>
      </c>
      <c r="Q8" s="1121" t="s">
        <v>242</v>
      </c>
      <c r="R8" s="1123" t="s">
        <v>172</v>
      </c>
      <c r="S8"/>
      <c r="T8" s="1112"/>
      <c r="U8" s="1113"/>
      <c r="V8" s="1121" t="s">
        <v>246</v>
      </c>
      <c r="W8" s="1121" t="s">
        <v>244</v>
      </c>
      <c r="X8" s="1121" t="s">
        <v>86</v>
      </c>
      <c r="Y8" s="1121" t="s">
        <v>242</v>
      </c>
      <c r="Z8" s="1123" t="s">
        <v>172</v>
      </c>
    </row>
    <row r="9" spans="1:26" ht="39" customHeight="1" x14ac:dyDescent="0.25">
      <c r="A9" s="666" t="s">
        <v>1292</v>
      </c>
      <c r="B9" s="29" t="s">
        <v>7</v>
      </c>
      <c r="C9" s="894">
        <f>'25 Markup Notes'!C15</f>
        <v>0.35</v>
      </c>
      <c r="D9" s="1114"/>
      <c r="E9" s="1115"/>
      <c r="F9" s="1122"/>
      <c r="G9" s="1122"/>
      <c r="H9" s="1122"/>
      <c r="I9" s="1122"/>
      <c r="J9" s="1124"/>
      <c r="K9"/>
      <c r="L9" s="1114"/>
      <c r="M9" s="1115"/>
      <c r="N9" s="1122"/>
      <c r="O9" s="1122"/>
      <c r="P9" s="1122"/>
      <c r="Q9" s="1122"/>
      <c r="R9" s="1124"/>
      <c r="S9"/>
      <c r="T9" s="1114"/>
      <c r="U9" s="1115"/>
      <c r="V9" s="1122"/>
      <c r="W9" s="1122"/>
      <c r="X9" s="1122"/>
      <c r="Y9" s="1122"/>
      <c r="Z9" s="1124"/>
    </row>
    <row r="10" spans="1:26" ht="150" customHeight="1" x14ac:dyDescent="0.3">
      <c r="A10" s="666" t="s">
        <v>1293</v>
      </c>
      <c r="B10" s="87"/>
      <c r="C10" s="87"/>
      <c r="D10" s="1104" t="s">
        <v>952</v>
      </c>
      <c r="E10" s="149" t="s">
        <v>246</v>
      </c>
      <c r="F10" s="92"/>
      <c r="G10" s="86" t="s">
        <v>859</v>
      </c>
      <c r="H10" s="327" t="s">
        <v>810</v>
      </c>
      <c r="I10" s="86" t="s">
        <v>809</v>
      </c>
      <c r="J10" s="368" t="s">
        <v>517</v>
      </c>
      <c r="K10"/>
      <c r="L10" s="1104" t="s">
        <v>952</v>
      </c>
      <c r="M10" s="149" t="s">
        <v>246</v>
      </c>
      <c r="N10" s="92"/>
      <c r="O10" s="86" t="s">
        <v>859</v>
      </c>
      <c r="P10" s="327" t="s">
        <v>810</v>
      </c>
      <c r="Q10" s="86" t="s">
        <v>809</v>
      </c>
      <c r="R10" s="368" t="s">
        <v>517</v>
      </c>
      <c r="S10"/>
      <c r="T10" s="1104" t="s">
        <v>952</v>
      </c>
      <c r="U10" s="149" t="s">
        <v>246</v>
      </c>
      <c r="V10" s="92"/>
      <c r="W10" s="86" t="s">
        <v>859</v>
      </c>
      <c r="X10" s="327" t="s">
        <v>810</v>
      </c>
      <c r="Y10" s="86" t="s">
        <v>809</v>
      </c>
      <c r="Z10" s="368" t="s">
        <v>517</v>
      </c>
    </row>
    <row r="11" spans="1:26" ht="150" customHeight="1" x14ac:dyDescent="0.3">
      <c r="A11" s="1268" t="s">
        <v>947</v>
      </c>
      <c r="B11" s="1268"/>
      <c r="C11" s="87"/>
      <c r="D11" s="1105"/>
      <c r="E11" s="152" t="s">
        <v>244</v>
      </c>
      <c r="F11" s="669"/>
      <c r="G11" s="436"/>
      <c r="H11" s="669"/>
      <c r="I11" s="669"/>
      <c r="J11" s="678"/>
      <c r="K11"/>
      <c r="L11" s="1105"/>
      <c r="M11" s="152" t="s">
        <v>244</v>
      </c>
      <c r="N11" s="669"/>
      <c r="O11" s="436"/>
      <c r="P11" s="669"/>
      <c r="Q11" s="669"/>
      <c r="R11" s="678"/>
      <c r="S11"/>
      <c r="T11" s="1119"/>
      <c r="U11" s="152" t="s">
        <v>244</v>
      </c>
      <c r="V11" s="669"/>
      <c r="W11" s="436"/>
      <c r="X11" s="669"/>
      <c r="Y11" s="669"/>
      <c r="Z11" s="678"/>
    </row>
    <row r="12" spans="1:26" ht="150" customHeight="1" x14ac:dyDescent="0.3">
      <c r="A12" s="1268"/>
      <c r="B12" s="1268"/>
      <c r="C12" s="87"/>
      <c r="D12" s="1105"/>
      <c r="E12" s="152" t="s">
        <v>86</v>
      </c>
      <c r="F12" s="327" t="s">
        <v>1059</v>
      </c>
      <c r="G12" s="327" t="s">
        <v>1060</v>
      </c>
      <c r="H12" s="86" t="s">
        <v>1115</v>
      </c>
      <c r="I12" s="327" t="s">
        <v>1061</v>
      </c>
      <c r="J12" s="369" t="s">
        <v>1059</v>
      </c>
      <c r="K12"/>
      <c r="L12" s="1105"/>
      <c r="M12" s="152" t="s">
        <v>86</v>
      </c>
      <c r="N12" s="327" t="s">
        <v>1062</v>
      </c>
      <c r="O12" s="327" t="s">
        <v>1063</v>
      </c>
      <c r="P12" s="86" t="s">
        <v>1116</v>
      </c>
      <c r="Q12" s="327" t="s">
        <v>1064</v>
      </c>
      <c r="R12" s="369" t="s">
        <v>1062</v>
      </c>
      <c r="S12"/>
      <c r="T12" s="1119"/>
      <c r="U12" s="152" t="s">
        <v>86</v>
      </c>
      <c r="V12" s="327" t="s">
        <v>1065</v>
      </c>
      <c r="W12" s="327" t="s">
        <v>1066</v>
      </c>
      <c r="X12" s="86" t="s">
        <v>1117</v>
      </c>
      <c r="Y12" s="327" t="s">
        <v>1067</v>
      </c>
      <c r="Z12" s="369" t="s">
        <v>1065</v>
      </c>
    </row>
    <row r="13" spans="1:26" ht="150" customHeight="1" x14ac:dyDescent="0.25">
      <c r="A13" s="1268" t="s">
        <v>482</v>
      </c>
      <c r="B13" s="1268"/>
      <c r="D13" s="1105"/>
      <c r="E13" s="152" t="s">
        <v>242</v>
      </c>
      <c r="F13" s="327" t="s">
        <v>981</v>
      </c>
      <c r="G13" s="327" t="s">
        <v>979</v>
      </c>
      <c r="H13" s="327" t="s">
        <v>980</v>
      </c>
      <c r="I13" s="86" t="s">
        <v>1118</v>
      </c>
      <c r="J13" s="368" t="s">
        <v>981</v>
      </c>
      <c r="K13"/>
      <c r="L13" s="1105"/>
      <c r="M13" s="152" t="s">
        <v>242</v>
      </c>
      <c r="N13" s="327" t="s">
        <v>983</v>
      </c>
      <c r="O13" s="327" t="s">
        <v>987</v>
      </c>
      <c r="P13" s="327" t="s">
        <v>988</v>
      </c>
      <c r="Q13" s="86" t="s">
        <v>1119</v>
      </c>
      <c r="R13" s="368" t="s">
        <v>983</v>
      </c>
      <c r="S13"/>
      <c r="T13" s="1119"/>
      <c r="U13" s="152" t="s">
        <v>242</v>
      </c>
      <c r="V13" s="327" t="s">
        <v>982</v>
      </c>
      <c r="W13" s="327" t="s">
        <v>985</v>
      </c>
      <c r="X13" s="327" t="s">
        <v>986</v>
      </c>
      <c r="Y13" s="86" t="s">
        <v>1120</v>
      </c>
      <c r="Z13" s="368" t="s">
        <v>982</v>
      </c>
    </row>
    <row r="14" spans="1:26" ht="150" customHeight="1" thickBot="1" x14ac:dyDescent="0.3">
      <c r="A14" s="1268"/>
      <c r="B14" s="1268"/>
      <c r="D14" s="1106"/>
      <c r="E14" s="153" t="s">
        <v>172</v>
      </c>
      <c r="F14" s="670"/>
      <c r="G14" s="670"/>
      <c r="H14" s="671"/>
      <c r="I14" s="670"/>
      <c r="J14" s="439"/>
      <c r="K14"/>
      <c r="L14" s="1106"/>
      <c r="M14" s="153" t="s">
        <v>172</v>
      </c>
      <c r="N14" s="670"/>
      <c r="O14" s="670"/>
      <c r="P14" s="671"/>
      <c r="Q14" s="670"/>
      <c r="R14" s="439"/>
      <c r="S14"/>
      <c r="T14" s="1120"/>
      <c r="U14" s="153" t="s">
        <v>172</v>
      </c>
      <c r="V14" s="670"/>
      <c r="W14" s="670"/>
      <c r="X14" s="671"/>
      <c r="Y14" s="670"/>
      <c r="Z14" s="439"/>
    </row>
    <row r="15" spans="1:26" ht="21" customHeight="1" x14ac:dyDescent="0.25">
      <c r="A15" s="1265" t="s">
        <v>1294</v>
      </c>
      <c r="B15" s="1265"/>
      <c r="C15" s="1271" t="s">
        <v>948</v>
      </c>
      <c r="D15"/>
      <c r="E15"/>
      <c r="F15"/>
      <c r="G15"/>
      <c r="H15"/>
      <c r="I15"/>
      <c r="J15"/>
      <c r="K15"/>
      <c r="L15"/>
      <c r="M15"/>
      <c r="N15"/>
      <c r="O15"/>
      <c r="P15"/>
      <c r="Q15"/>
      <c r="R15"/>
      <c r="S15"/>
      <c r="T15"/>
      <c r="U15"/>
      <c r="V15"/>
      <c r="W15"/>
      <c r="X15"/>
      <c r="Y15"/>
      <c r="Z15"/>
    </row>
    <row r="16" spans="1:26" ht="21" customHeight="1" x14ac:dyDescent="0.25">
      <c r="A16" s="1265"/>
      <c r="B16" s="1265"/>
      <c r="C16" s="1271"/>
      <c r="D16"/>
      <c r="E16"/>
      <c r="F16"/>
      <c r="G16"/>
      <c r="H16"/>
      <c r="I16"/>
      <c r="J16"/>
      <c r="K16"/>
      <c r="L16"/>
      <c r="M16"/>
      <c r="N16"/>
      <c r="O16"/>
      <c r="P16"/>
      <c r="Q16"/>
      <c r="R16"/>
      <c r="S16"/>
      <c r="T16"/>
      <c r="U16"/>
      <c r="V16"/>
      <c r="W16"/>
      <c r="X16"/>
      <c r="Y16"/>
      <c r="Z16"/>
    </row>
    <row r="17" spans="1:26" ht="87.6" customHeight="1" thickBot="1" x14ac:dyDescent="0.3">
      <c r="A17" s="1265"/>
      <c r="B17" s="1265"/>
      <c r="C17" s="1271"/>
      <c r="D17"/>
      <c r="E17"/>
      <c r="F17"/>
      <c r="G17"/>
      <c r="H17"/>
      <c r="I17"/>
      <c r="J17"/>
      <c r="K17"/>
      <c r="L17"/>
      <c r="M17"/>
      <c r="N17"/>
      <c r="O17"/>
      <c r="P17"/>
      <c r="Q17"/>
      <c r="R17"/>
      <c r="S17"/>
      <c r="T17"/>
      <c r="U17"/>
      <c r="V17"/>
      <c r="W17"/>
      <c r="X17"/>
      <c r="Y17"/>
      <c r="Z17"/>
    </row>
    <row r="18" spans="1:26" ht="180" customHeight="1" x14ac:dyDescent="0.25">
      <c r="A18" s="1268" t="s">
        <v>1625</v>
      </c>
      <c r="B18" s="1268"/>
      <c r="D18" s="1107" t="s">
        <v>1187</v>
      </c>
      <c r="E18" s="1108"/>
      <c r="F18" s="1108"/>
      <c r="G18" s="1108"/>
      <c r="H18" s="1108"/>
      <c r="I18" s="1108"/>
      <c r="J18" s="1109"/>
      <c r="K18"/>
      <c r="L18" s="1107" t="s">
        <v>1188</v>
      </c>
      <c r="M18" s="1108"/>
      <c r="N18" s="1108"/>
      <c r="O18" s="1108"/>
      <c r="P18" s="1108"/>
      <c r="Q18" s="1108"/>
      <c r="R18" s="1109"/>
      <c r="S18"/>
      <c r="T18" s="1107" t="s">
        <v>1189</v>
      </c>
      <c r="U18" s="1108"/>
      <c r="V18" s="1108"/>
      <c r="W18" s="1108"/>
      <c r="X18" s="1108"/>
      <c r="Y18" s="1108"/>
      <c r="Z18" s="1109"/>
    </row>
    <row r="19" spans="1:26" ht="79.900000000000006" customHeight="1" x14ac:dyDescent="0.25">
      <c r="D19" s="1110" t="s">
        <v>977</v>
      </c>
      <c r="E19" s="1111"/>
      <c r="F19" s="1116" t="s">
        <v>951</v>
      </c>
      <c r="G19" s="1117"/>
      <c r="H19" s="1117"/>
      <c r="I19" s="1117"/>
      <c r="J19" s="1118"/>
      <c r="K19"/>
      <c r="L19" s="1110" t="s">
        <v>977</v>
      </c>
      <c r="M19" s="1111"/>
      <c r="N19" s="1116" t="s">
        <v>951</v>
      </c>
      <c r="O19" s="1117"/>
      <c r="P19" s="1117"/>
      <c r="Q19" s="1117"/>
      <c r="R19" s="1118"/>
      <c r="S19"/>
      <c r="T19" s="1110" t="s">
        <v>977</v>
      </c>
      <c r="U19" s="1111"/>
      <c r="V19" s="1116" t="s">
        <v>951</v>
      </c>
      <c r="W19" s="1117"/>
      <c r="X19" s="1117"/>
      <c r="Y19" s="1117"/>
      <c r="Z19" s="1118"/>
    </row>
    <row r="20" spans="1:26" ht="99.6" customHeight="1" x14ac:dyDescent="0.25">
      <c r="D20" s="1112"/>
      <c r="E20" s="1113"/>
      <c r="F20" s="1121" t="s">
        <v>246</v>
      </c>
      <c r="G20" s="1121" t="s">
        <v>244</v>
      </c>
      <c r="H20" s="1121" t="s">
        <v>86</v>
      </c>
      <c r="I20" s="1121" t="s">
        <v>242</v>
      </c>
      <c r="J20" s="1123" t="s">
        <v>172</v>
      </c>
      <c r="K20"/>
      <c r="L20" s="1112"/>
      <c r="M20" s="1113"/>
      <c r="N20" s="1121" t="s">
        <v>246</v>
      </c>
      <c r="O20" s="1121" t="s">
        <v>244</v>
      </c>
      <c r="P20" s="1121" t="s">
        <v>86</v>
      </c>
      <c r="Q20" s="1121" t="s">
        <v>242</v>
      </c>
      <c r="R20" s="1123" t="s">
        <v>172</v>
      </c>
      <c r="S20"/>
      <c r="T20" s="1112"/>
      <c r="U20" s="1113"/>
      <c r="V20" s="1121" t="s">
        <v>246</v>
      </c>
      <c r="W20" s="1121" t="s">
        <v>244</v>
      </c>
      <c r="X20" s="1121" t="s">
        <v>86</v>
      </c>
      <c r="Y20" s="1121" t="s">
        <v>242</v>
      </c>
      <c r="Z20" s="1123" t="s">
        <v>172</v>
      </c>
    </row>
    <row r="21" spans="1:26" ht="21" hidden="1" customHeight="1" x14ac:dyDescent="0.25">
      <c r="D21" s="1114"/>
      <c r="E21" s="1115"/>
      <c r="F21" s="1122"/>
      <c r="G21" s="1122"/>
      <c r="H21" s="1122"/>
      <c r="I21" s="1122"/>
      <c r="J21" s="1124"/>
      <c r="K21"/>
      <c r="L21" s="1114"/>
      <c r="M21" s="1115"/>
      <c r="N21" s="1122"/>
      <c r="O21" s="1122"/>
      <c r="P21" s="1122"/>
      <c r="Q21" s="1122"/>
      <c r="R21" s="1124"/>
      <c r="S21"/>
      <c r="T21" s="1114"/>
      <c r="U21" s="1115"/>
      <c r="V21" s="1122"/>
      <c r="W21" s="1122"/>
      <c r="X21" s="1122"/>
      <c r="Y21" s="1122"/>
      <c r="Z21" s="1124"/>
    </row>
    <row r="22" spans="1:26" ht="150" customHeight="1" x14ac:dyDescent="0.25">
      <c r="A22" s="1265" t="s">
        <v>1361</v>
      </c>
      <c r="B22" s="1265"/>
      <c r="C22" s="905" t="s">
        <v>949</v>
      </c>
      <c r="D22" s="1104" t="s">
        <v>989</v>
      </c>
      <c r="E22" s="149" t="s">
        <v>246</v>
      </c>
      <c r="F22" s="435"/>
      <c r="G22" s="86" t="s">
        <v>859</v>
      </c>
      <c r="H22" s="327" t="s">
        <v>860</v>
      </c>
      <c r="I22" s="86" t="s">
        <v>809</v>
      </c>
      <c r="J22" s="368" t="s">
        <v>517</v>
      </c>
      <c r="K22"/>
      <c r="L22" s="1104" t="s">
        <v>989</v>
      </c>
      <c r="M22" s="149" t="s">
        <v>246</v>
      </c>
      <c r="N22" s="435"/>
      <c r="O22" s="86" t="s">
        <v>859</v>
      </c>
      <c r="P22" s="327" t="s">
        <v>860</v>
      </c>
      <c r="Q22" s="86" t="s">
        <v>809</v>
      </c>
      <c r="R22" s="86" t="s">
        <v>517</v>
      </c>
      <c r="S22"/>
      <c r="T22" s="1104" t="s">
        <v>989</v>
      </c>
      <c r="U22" s="149" t="s">
        <v>246</v>
      </c>
      <c r="V22" s="435"/>
      <c r="W22" s="86" t="s">
        <v>859</v>
      </c>
      <c r="X22" s="327" t="s">
        <v>860</v>
      </c>
      <c r="Y22" s="86" t="s">
        <v>809</v>
      </c>
      <c r="Z22" s="86" t="s">
        <v>517</v>
      </c>
    </row>
    <row r="23" spans="1:26" ht="150" customHeight="1" x14ac:dyDescent="0.25">
      <c r="D23" s="1105"/>
      <c r="E23" s="152" t="s">
        <v>244</v>
      </c>
      <c r="F23" s="327" t="s">
        <v>1084</v>
      </c>
      <c r="G23" s="436"/>
      <c r="H23" s="327" t="s">
        <v>1085</v>
      </c>
      <c r="I23" s="327" t="s">
        <v>1086</v>
      </c>
      <c r="J23" s="369" t="s">
        <v>1087</v>
      </c>
      <c r="K23"/>
      <c r="L23" s="1105"/>
      <c r="M23" s="152" t="s">
        <v>244</v>
      </c>
      <c r="N23" s="327" t="s">
        <v>1088</v>
      </c>
      <c r="O23" s="436"/>
      <c r="P23" s="327" t="s">
        <v>1089</v>
      </c>
      <c r="Q23" s="327" t="s">
        <v>1090</v>
      </c>
      <c r="R23" s="327" t="s">
        <v>1091</v>
      </c>
      <c r="S23"/>
      <c r="T23" s="1105"/>
      <c r="U23" s="152" t="s">
        <v>244</v>
      </c>
      <c r="V23" s="327" t="s">
        <v>1092</v>
      </c>
      <c r="W23" s="436"/>
      <c r="X23" s="327" t="s">
        <v>1093</v>
      </c>
      <c r="Y23" s="327" t="s">
        <v>1094</v>
      </c>
      <c r="Z23" s="327" t="s">
        <v>1095</v>
      </c>
    </row>
    <row r="24" spans="1:26" ht="150" customHeight="1" x14ac:dyDescent="0.25">
      <c r="D24" s="1105"/>
      <c r="E24" s="152" t="s">
        <v>86</v>
      </c>
      <c r="F24" s="327" t="s">
        <v>1096</v>
      </c>
      <c r="G24" s="327" t="s">
        <v>1097</v>
      </c>
      <c r="H24" s="436"/>
      <c r="I24" s="327" t="s">
        <v>1098</v>
      </c>
      <c r="J24" s="369" t="s">
        <v>1096</v>
      </c>
      <c r="K24"/>
      <c r="L24" s="1105"/>
      <c r="M24" s="152" t="s">
        <v>86</v>
      </c>
      <c r="N24" s="327" t="s">
        <v>1099</v>
      </c>
      <c r="O24" s="327" t="s">
        <v>1100</v>
      </c>
      <c r="P24" s="436"/>
      <c r="Q24" s="327" t="s">
        <v>1101</v>
      </c>
      <c r="R24" s="327" t="s">
        <v>1099</v>
      </c>
      <c r="S24"/>
      <c r="T24" s="1105"/>
      <c r="U24" s="152" t="s">
        <v>86</v>
      </c>
      <c r="V24" s="327" t="s">
        <v>1102</v>
      </c>
      <c r="W24" s="327" t="s">
        <v>1103</v>
      </c>
      <c r="X24" s="436"/>
      <c r="Y24" s="327" t="s">
        <v>1104</v>
      </c>
      <c r="Z24" s="327" t="s">
        <v>1102</v>
      </c>
    </row>
    <row r="25" spans="1:26" ht="150" customHeight="1" x14ac:dyDescent="0.25">
      <c r="D25" s="1105"/>
      <c r="E25" s="152" t="s">
        <v>242</v>
      </c>
      <c r="F25" s="327" t="s">
        <v>1105</v>
      </c>
      <c r="G25" s="327" t="s">
        <v>1106</v>
      </c>
      <c r="H25" s="327" t="s">
        <v>1107</v>
      </c>
      <c r="I25" s="436"/>
      <c r="J25" s="368" t="s">
        <v>1105</v>
      </c>
      <c r="K25"/>
      <c r="L25" s="1105"/>
      <c r="M25" s="152" t="s">
        <v>242</v>
      </c>
      <c r="N25" s="327" t="s">
        <v>1108</v>
      </c>
      <c r="O25" s="327" t="s">
        <v>1109</v>
      </c>
      <c r="P25" s="327" t="s">
        <v>1110</v>
      </c>
      <c r="Q25" s="436"/>
      <c r="R25" s="86" t="s">
        <v>1108</v>
      </c>
      <c r="S25"/>
      <c r="T25" s="1105"/>
      <c r="U25" s="152" t="s">
        <v>242</v>
      </c>
      <c r="V25" s="327" t="s">
        <v>1111</v>
      </c>
      <c r="W25" s="327" t="s">
        <v>1112</v>
      </c>
      <c r="X25" s="327" t="s">
        <v>1113</v>
      </c>
      <c r="Y25" s="436"/>
      <c r="Z25" s="86" t="s">
        <v>1111</v>
      </c>
    </row>
    <row r="26" spans="1:26" ht="150" customHeight="1" thickBot="1" x14ac:dyDescent="0.3">
      <c r="D26" s="1106"/>
      <c r="E26" s="153" t="s">
        <v>172</v>
      </c>
      <c r="F26" s="370" t="s">
        <v>984</v>
      </c>
      <c r="G26" s="370" t="s">
        <v>812</v>
      </c>
      <c r="H26" s="371" t="s">
        <v>813</v>
      </c>
      <c r="I26" s="370" t="s">
        <v>814</v>
      </c>
      <c r="J26" s="439"/>
      <c r="K26"/>
      <c r="L26" s="1106"/>
      <c r="M26" s="153" t="s">
        <v>172</v>
      </c>
      <c r="N26" s="370" t="s">
        <v>984</v>
      </c>
      <c r="O26" s="370" t="s">
        <v>812</v>
      </c>
      <c r="P26" s="371" t="s">
        <v>813</v>
      </c>
      <c r="Q26" s="370" t="s">
        <v>814</v>
      </c>
      <c r="R26" s="438"/>
      <c r="S26"/>
      <c r="T26" s="1106"/>
      <c r="U26" s="153" t="s">
        <v>172</v>
      </c>
      <c r="V26" s="370" t="s">
        <v>811</v>
      </c>
      <c r="W26" s="370" t="s">
        <v>812</v>
      </c>
      <c r="X26" s="371" t="s">
        <v>813</v>
      </c>
      <c r="Y26" s="370" t="s">
        <v>814</v>
      </c>
      <c r="Z26" s="438"/>
    </row>
    <row r="27" spans="1:26" ht="21" customHeight="1" x14ac:dyDescent="0.25">
      <c r="D27"/>
      <c r="E27"/>
      <c r="F27"/>
      <c r="G27"/>
      <c r="H27"/>
      <c r="I27"/>
      <c r="J27"/>
      <c r="K27"/>
      <c r="L27"/>
      <c r="M27"/>
      <c r="N27"/>
      <c r="O27"/>
      <c r="P27"/>
      <c r="Q27"/>
      <c r="R27"/>
      <c r="S27"/>
      <c r="T27"/>
      <c r="U27"/>
      <c r="V27"/>
      <c r="W27"/>
      <c r="X27"/>
      <c r="Y27"/>
      <c r="Z27"/>
    </row>
    <row r="28" spans="1:26" ht="21" customHeight="1" thickBot="1" x14ac:dyDescent="0.3">
      <c r="D28"/>
      <c r="E28"/>
      <c r="F28"/>
      <c r="G28"/>
      <c r="H28"/>
      <c r="I28"/>
      <c r="J28"/>
      <c r="K28"/>
      <c r="L28"/>
      <c r="M28"/>
      <c r="N28"/>
      <c r="O28"/>
      <c r="P28"/>
      <c r="Q28"/>
      <c r="R28"/>
      <c r="S28"/>
      <c r="T28"/>
      <c r="U28"/>
      <c r="V28"/>
      <c r="W28"/>
      <c r="X28"/>
      <c r="Y28"/>
      <c r="Z28"/>
    </row>
    <row r="29" spans="1:26" ht="180" customHeight="1" x14ac:dyDescent="0.25">
      <c r="D29" s="1107" t="s">
        <v>1190</v>
      </c>
      <c r="E29" s="1108"/>
      <c r="F29" s="1108"/>
      <c r="G29" s="1108"/>
      <c r="H29" s="1108"/>
      <c r="I29" s="1108"/>
      <c r="J29" s="1109"/>
      <c r="K29"/>
      <c r="L29" s="1107" t="s">
        <v>1191</v>
      </c>
      <c r="M29" s="1108"/>
      <c r="N29" s="1108"/>
      <c r="O29" s="1108"/>
      <c r="P29" s="1108"/>
      <c r="Q29" s="1108"/>
      <c r="R29" s="1109"/>
      <c r="S29"/>
      <c r="T29" s="1107" t="s">
        <v>1192</v>
      </c>
      <c r="U29" s="1108"/>
      <c r="V29" s="1108"/>
      <c r="W29" s="1108"/>
      <c r="X29" s="1108"/>
      <c r="Y29" s="1108"/>
      <c r="Z29" s="1109"/>
    </row>
    <row r="30" spans="1:26" ht="79.900000000000006" customHeight="1" x14ac:dyDescent="0.25">
      <c r="D30" s="1110" t="s">
        <v>977</v>
      </c>
      <c r="E30" s="1111"/>
      <c r="F30" s="1116" t="s">
        <v>990</v>
      </c>
      <c r="G30" s="1117"/>
      <c r="H30" s="1117"/>
      <c r="I30" s="1117"/>
      <c r="J30" s="1118"/>
      <c r="K30"/>
      <c r="L30" s="1110" t="s">
        <v>977</v>
      </c>
      <c r="M30" s="1111"/>
      <c r="N30" s="1116" t="s">
        <v>990</v>
      </c>
      <c r="O30" s="1117"/>
      <c r="P30" s="1117"/>
      <c r="Q30" s="1117"/>
      <c r="R30" s="1118"/>
      <c r="S30"/>
      <c r="T30" s="1110" t="s">
        <v>977</v>
      </c>
      <c r="U30" s="1111"/>
      <c r="V30" s="1116" t="s">
        <v>990</v>
      </c>
      <c r="W30" s="1117"/>
      <c r="X30" s="1117"/>
      <c r="Y30" s="1117"/>
      <c r="Z30" s="1118"/>
    </row>
    <row r="31" spans="1:26" ht="79.900000000000006" customHeight="1" x14ac:dyDescent="0.25">
      <c r="D31" s="1112"/>
      <c r="E31" s="1113"/>
      <c r="F31" s="1121" t="s">
        <v>246</v>
      </c>
      <c r="G31" s="1121" t="s">
        <v>244</v>
      </c>
      <c r="H31" s="1121" t="s">
        <v>86</v>
      </c>
      <c r="I31" s="1121" t="s">
        <v>242</v>
      </c>
      <c r="J31" s="1123" t="s">
        <v>172</v>
      </c>
      <c r="K31"/>
      <c r="L31" s="1112"/>
      <c r="M31" s="1113"/>
      <c r="N31" s="1121" t="s">
        <v>246</v>
      </c>
      <c r="O31" s="1121" t="s">
        <v>244</v>
      </c>
      <c r="P31" s="1121" t="s">
        <v>86</v>
      </c>
      <c r="Q31" s="1121" t="s">
        <v>242</v>
      </c>
      <c r="R31" s="1123" t="s">
        <v>172</v>
      </c>
      <c r="S31"/>
      <c r="T31" s="1112"/>
      <c r="U31" s="1113"/>
      <c r="V31" s="1121" t="s">
        <v>246</v>
      </c>
      <c r="W31" s="1121" t="s">
        <v>244</v>
      </c>
      <c r="X31" s="1121" t="s">
        <v>86</v>
      </c>
      <c r="Y31" s="1121" t="s">
        <v>242</v>
      </c>
      <c r="Z31" s="1123" t="s">
        <v>172</v>
      </c>
    </row>
    <row r="32" spans="1:26" ht="21" customHeight="1" x14ac:dyDescent="0.25">
      <c r="D32" s="1114"/>
      <c r="E32" s="1115"/>
      <c r="F32" s="1122"/>
      <c r="G32" s="1122"/>
      <c r="H32" s="1122"/>
      <c r="I32" s="1122"/>
      <c r="J32" s="1124"/>
      <c r="K32"/>
      <c r="L32" s="1114"/>
      <c r="M32" s="1115"/>
      <c r="N32" s="1122"/>
      <c r="O32" s="1122"/>
      <c r="P32" s="1122"/>
      <c r="Q32" s="1122"/>
      <c r="R32" s="1124"/>
      <c r="S32"/>
      <c r="T32" s="1114"/>
      <c r="U32" s="1115"/>
      <c r="V32" s="1122"/>
      <c r="W32" s="1122"/>
      <c r="X32" s="1122"/>
      <c r="Y32" s="1122"/>
      <c r="Z32" s="1124"/>
    </row>
    <row r="33" spans="1:32" ht="150" customHeight="1" x14ac:dyDescent="0.25">
      <c r="D33" s="1104" t="s">
        <v>952</v>
      </c>
      <c r="E33" s="149" t="s">
        <v>246</v>
      </c>
      <c r="F33" s="436"/>
      <c r="G33" s="86" t="s">
        <v>859</v>
      </c>
      <c r="H33" s="327" t="s">
        <v>860</v>
      </c>
      <c r="I33" s="86" t="s">
        <v>809</v>
      </c>
      <c r="J33" s="368" t="s">
        <v>517</v>
      </c>
      <c r="K33"/>
      <c r="L33" s="1104" t="s">
        <v>952</v>
      </c>
      <c r="M33" s="149" t="s">
        <v>246</v>
      </c>
      <c r="N33" s="436"/>
      <c r="O33" s="86" t="s">
        <v>859</v>
      </c>
      <c r="P33" s="327" t="s">
        <v>860</v>
      </c>
      <c r="Q33" s="86" t="s">
        <v>809</v>
      </c>
      <c r="R33" s="368" t="s">
        <v>517</v>
      </c>
      <c r="S33"/>
      <c r="T33" s="1104" t="s">
        <v>952</v>
      </c>
      <c r="U33" s="149" t="s">
        <v>246</v>
      </c>
      <c r="V33" s="436"/>
      <c r="W33" s="86" t="s">
        <v>859</v>
      </c>
      <c r="X33" s="327" t="s">
        <v>860</v>
      </c>
      <c r="Y33" s="86" t="s">
        <v>809</v>
      </c>
      <c r="Z33" s="368" t="s">
        <v>517</v>
      </c>
    </row>
    <row r="34" spans="1:32" ht="150" customHeight="1" x14ac:dyDescent="0.25">
      <c r="D34" s="1105"/>
      <c r="E34" s="152" t="s">
        <v>244</v>
      </c>
      <c r="F34" s="436"/>
      <c r="G34" s="436"/>
      <c r="H34" s="436"/>
      <c r="I34" s="436"/>
      <c r="J34" s="437"/>
      <c r="K34"/>
      <c r="L34" s="1105"/>
      <c r="M34" s="152" t="s">
        <v>244</v>
      </c>
      <c r="N34" s="436"/>
      <c r="O34" s="436"/>
      <c r="P34" s="436"/>
      <c r="Q34" s="436"/>
      <c r="R34" s="437"/>
      <c r="S34"/>
      <c r="T34" s="1105"/>
      <c r="U34" s="152" t="s">
        <v>244</v>
      </c>
      <c r="V34" s="436"/>
      <c r="W34" s="436"/>
      <c r="X34" s="436"/>
      <c r="Y34" s="436"/>
      <c r="Z34" s="437"/>
    </row>
    <row r="35" spans="1:32" ht="150" customHeight="1" x14ac:dyDescent="0.25">
      <c r="D35" s="1105"/>
      <c r="E35" s="152" t="s">
        <v>86</v>
      </c>
      <c r="F35" s="327" t="s">
        <v>1059</v>
      </c>
      <c r="G35" s="86" t="s">
        <v>856</v>
      </c>
      <c r="H35" s="436"/>
      <c r="I35" s="327" t="s">
        <v>1061</v>
      </c>
      <c r="J35" s="369" t="s">
        <v>1059</v>
      </c>
      <c r="K35"/>
      <c r="L35" s="1105"/>
      <c r="M35" s="152" t="s">
        <v>86</v>
      </c>
      <c r="N35" s="327" t="s">
        <v>1062</v>
      </c>
      <c r="O35" s="86" t="s">
        <v>849</v>
      </c>
      <c r="P35" s="436"/>
      <c r="Q35" s="327" t="s">
        <v>1064</v>
      </c>
      <c r="R35" s="369" t="s">
        <v>1062</v>
      </c>
      <c r="S35"/>
      <c r="T35" s="1105"/>
      <c r="U35" s="152" t="s">
        <v>86</v>
      </c>
      <c r="V35" s="327" t="s">
        <v>1065</v>
      </c>
      <c r="W35" s="86" t="s">
        <v>849</v>
      </c>
      <c r="X35" s="436"/>
      <c r="Y35" s="327" t="s">
        <v>1067</v>
      </c>
      <c r="Z35" s="369" t="s">
        <v>1065</v>
      </c>
    </row>
    <row r="36" spans="1:32" ht="150" customHeight="1" x14ac:dyDescent="0.25">
      <c r="D36" s="1105"/>
      <c r="E36" s="152" t="s">
        <v>242</v>
      </c>
      <c r="F36" s="86" t="s">
        <v>981</v>
      </c>
      <c r="G36" s="86" t="s">
        <v>857</v>
      </c>
      <c r="H36" s="327" t="s">
        <v>858</v>
      </c>
      <c r="I36" s="436"/>
      <c r="J36" s="368" t="s">
        <v>981</v>
      </c>
      <c r="K36"/>
      <c r="L36" s="1105"/>
      <c r="M36" s="152" t="s">
        <v>242</v>
      </c>
      <c r="N36" s="86" t="s">
        <v>983</v>
      </c>
      <c r="O36" s="86" t="s">
        <v>850</v>
      </c>
      <c r="P36" s="327" t="s">
        <v>851</v>
      </c>
      <c r="Q36" s="436"/>
      <c r="R36" s="368" t="s">
        <v>983</v>
      </c>
      <c r="S36"/>
      <c r="T36" s="1105"/>
      <c r="U36" s="152" t="s">
        <v>242</v>
      </c>
      <c r="V36" s="86" t="s">
        <v>982</v>
      </c>
      <c r="W36" s="86" t="s">
        <v>847</v>
      </c>
      <c r="X36" s="327" t="s">
        <v>848</v>
      </c>
      <c r="Y36" s="436"/>
      <c r="Z36" s="368" t="s">
        <v>982</v>
      </c>
    </row>
    <row r="37" spans="1:32" ht="150" customHeight="1" thickBot="1" x14ac:dyDescent="0.3">
      <c r="D37" s="1106"/>
      <c r="E37" s="153" t="s">
        <v>172</v>
      </c>
      <c r="F37" s="438"/>
      <c r="G37" s="438"/>
      <c r="H37" s="438"/>
      <c r="I37" s="438"/>
      <c r="J37" s="439"/>
      <c r="K37"/>
      <c r="L37" s="1106"/>
      <c r="M37" s="153" t="s">
        <v>172</v>
      </c>
      <c r="N37" s="438"/>
      <c r="O37" s="438"/>
      <c r="P37" s="438"/>
      <c r="Q37" s="438"/>
      <c r="R37" s="439"/>
      <c r="S37"/>
      <c r="T37" s="1106"/>
      <c r="U37" s="153" t="s">
        <v>172</v>
      </c>
      <c r="V37" s="438"/>
      <c r="W37" s="438"/>
      <c r="X37" s="438"/>
      <c r="Y37" s="438"/>
      <c r="Z37" s="439"/>
    </row>
    <row r="38" spans="1:32" ht="21" customHeight="1" x14ac:dyDescent="0.3">
      <c r="D38" s="397"/>
      <c r="E38" s="667"/>
      <c r="F38" s="667"/>
      <c r="H38" s="395"/>
      <c r="I38" s="395"/>
    </row>
    <row r="39" spans="1:32" ht="55.15" customHeight="1" thickBot="1" x14ac:dyDescent="0.3"/>
    <row r="40" spans="1:32" ht="23.25" customHeight="1" x14ac:dyDescent="0.25">
      <c r="A40" s="20"/>
      <c r="B40" s="287"/>
      <c r="D40" s="1246" t="s">
        <v>1360</v>
      </c>
      <c r="E40" s="1247"/>
      <c r="F40" s="1247"/>
      <c r="G40" s="1247"/>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8"/>
    </row>
    <row r="41" spans="1:32" ht="23.25" customHeight="1" x14ac:dyDescent="0.25">
      <c r="A41" s="20"/>
      <c r="B41" s="287"/>
      <c r="D41" s="512" t="s">
        <v>229</v>
      </c>
      <c r="E41" s="1259" t="s">
        <v>458</v>
      </c>
      <c r="F41" s="1259"/>
      <c r="G41" s="1259"/>
      <c r="H41" s="1259"/>
      <c r="I41" s="1252" t="s">
        <v>228</v>
      </c>
      <c r="J41" s="1253"/>
      <c r="K41" s="1253"/>
      <c r="L41" s="1253"/>
      <c r="M41" s="1253"/>
      <c r="N41" s="1253"/>
      <c r="O41" s="1253"/>
      <c r="P41" s="1254"/>
      <c r="Q41" s="1249" t="s">
        <v>633</v>
      </c>
      <c r="R41" s="1249"/>
      <c r="S41" s="1249"/>
      <c r="T41" s="1249"/>
      <c r="U41" s="1249"/>
      <c r="V41" s="1249" t="s">
        <v>846</v>
      </c>
      <c r="W41" s="1249"/>
      <c r="X41" s="1249"/>
      <c r="Y41" s="1249"/>
      <c r="Z41" s="1249"/>
      <c r="AA41" s="1249" t="s">
        <v>861</v>
      </c>
      <c r="AB41" s="1249"/>
      <c r="AC41" s="1249"/>
      <c r="AD41" s="1249"/>
      <c r="AE41" s="1250"/>
    </row>
    <row r="42" spans="1:32" ht="21" customHeight="1" x14ac:dyDescent="0.25">
      <c r="A42" s="20"/>
      <c r="B42" s="283"/>
      <c r="D42" s="937"/>
      <c r="E42" s="202" t="s">
        <v>156</v>
      </c>
      <c r="F42" s="202" t="s">
        <v>173</v>
      </c>
      <c r="G42" s="938" t="s">
        <v>460</v>
      </c>
      <c r="H42" s="202" t="s">
        <v>174</v>
      </c>
      <c r="I42" s="202" t="s">
        <v>105</v>
      </c>
      <c r="J42" s="202" t="s">
        <v>1114</v>
      </c>
      <c r="K42" s="938" t="s">
        <v>462</v>
      </c>
      <c r="L42" s="202" t="s">
        <v>158</v>
      </c>
      <c r="M42" s="202" t="s">
        <v>122</v>
      </c>
      <c r="N42" s="202" t="s">
        <v>175</v>
      </c>
      <c r="O42" s="202" t="s">
        <v>869</v>
      </c>
      <c r="P42" s="202" t="s">
        <v>139</v>
      </c>
      <c r="Q42" s="202" t="s">
        <v>817</v>
      </c>
      <c r="R42" s="202" t="s">
        <v>852</v>
      </c>
      <c r="S42" s="202" t="s">
        <v>853</v>
      </c>
      <c r="T42" s="202" t="s">
        <v>854</v>
      </c>
      <c r="U42" s="202" t="s">
        <v>855</v>
      </c>
      <c r="V42" s="202" t="s">
        <v>816</v>
      </c>
      <c r="W42" s="202" t="s">
        <v>819</v>
      </c>
      <c r="X42" s="202" t="s">
        <v>821</v>
      </c>
      <c r="Y42" s="202" t="s">
        <v>823</v>
      </c>
      <c r="Z42" s="202" t="s">
        <v>825</v>
      </c>
      <c r="AA42" s="202" t="s">
        <v>815</v>
      </c>
      <c r="AB42" s="202" t="s">
        <v>820</v>
      </c>
      <c r="AC42" s="202" t="s">
        <v>822</v>
      </c>
      <c r="AD42" s="202" t="s">
        <v>824</v>
      </c>
      <c r="AE42" s="939" t="s">
        <v>953</v>
      </c>
      <c r="AF42" s="159"/>
    </row>
    <row r="43" spans="1:32" s="158" customFormat="1" ht="21" customHeight="1" x14ac:dyDescent="0.25">
      <c r="A43" s="20"/>
      <c r="B43" s="287"/>
      <c r="C43" s="5"/>
      <c r="D43" s="834" t="s">
        <v>1367</v>
      </c>
      <c r="E43" s="724" t="s">
        <v>1157</v>
      </c>
      <c r="F43" s="724" t="s">
        <v>1157</v>
      </c>
      <c r="G43" s="724" t="s">
        <v>1157</v>
      </c>
      <c r="H43" s="724" t="s">
        <v>1157</v>
      </c>
      <c r="I43" s="731">
        <f>'14 Space Heating Detailed Costs'!F100</f>
        <v>4</v>
      </c>
      <c r="J43" s="724" t="s">
        <v>1157</v>
      </c>
      <c r="K43" s="732">
        <f>E76</f>
        <v>4.3989153230658946</v>
      </c>
      <c r="L43" s="732">
        <f>E86</f>
        <v>4.3989153230658946</v>
      </c>
      <c r="M43" s="732">
        <f>E68</f>
        <v>11.897125943043891</v>
      </c>
      <c r="N43" s="732">
        <f>E96</f>
        <v>4.3989153230658946</v>
      </c>
      <c r="O43" s="732">
        <f>'14 Space Heating Detailed Costs'!F100</f>
        <v>4</v>
      </c>
      <c r="P43" s="739">
        <f>'14 Space Heating Detailed Costs'!F33</f>
        <v>10.897125943043891</v>
      </c>
      <c r="Q43" s="724" t="s">
        <v>1157</v>
      </c>
      <c r="R43" s="724" t="s">
        <v>1157</v>
      </c>
      <c r="S43" s="724" t="s">
        <v>1157</v>
      </c>
      <c r="T43" s="724" t="s">
        <v>1157</v>
      </c>
      <c r="U43" s="724" t="s">
        <v>1157</v>
      </c>
      <c r="V43" s="724" t="s">
        <v>1157</v>
      </c>
      <c r="W43" s="724" t="s">
        <v>1157</v>
      </c>
      <c r="X43" s="724" t="s">
        <v>1157</v>
      </c>
      <c r="Y43" s="724" t="s">
        <v>1157</v>
      </c>
      <c r="Z43" s="724" t="s">
        <v>1157</v>
      </c>
      <c r="AA43" s="724" t="s">
        <v>1157</v>
      </c>
      <c r="AB43" s="724" t="s">
        <v>1157</v>
      </c>
      <c r="AC43" s="724" t="s">
        <v>1157</v>
      </c>
      <c r="AD43" s="724" t="s">
        <v>1157</v>
      </c>
      <c r="AE43" s="1068" t="s">
        <v>1157</v>
      </c>
    </row>
    <row r="44" spans="1:32" s="158" customFormat="1" ht="21" customHeight="1" x14ac:dyDescent="0.25">
      <c r="A44" s="20"/>
      <c r="B44" s="287"/>
      <c r="C44" s="5"/>
      <c r="D44" s="834" t="s">
        <v>7</v>
      </c>
      <c r="E44" s="725" t="s">
        <v>1157</v>
      </c>
      <c r="F44" s="725" t="s">
        <v>1157</v>
      </c>
      <c r="G44" s="725" t="s">
        <v>1157</v>
      </c>
      <c r="H44" s="725" t="s">
        <v>1157</v>
      </c>
      <c r="I44" s="735">
        <f>'14 Space Heating Detailed Costs'!E100</f>
        <v>550</v>
      </c>
      <c r="J44" s="725" t="s">
        <v>1157</v>
      </c>
      <c r="K44" s="735">
        <f>D76</f>
        <v>0</v>
      </c>
      <c r="L44" s="735">
        <f>D86</f>
        <v>0</v>
      </c>
      <c r="M44" s="735">
        <f>D68</f>
        <v>125.4</v>
      </c>
      <c r="N44" s="735">
        <f>D86</f>
        <v>0</v>
      </c>
      <c r="O44" s="735">
        <f>'14 Space Heating Detailed Costs'!E100</f>
        <v>550</v>
      </c>
      <c r="P44" s="740">
        <f>'14 Space Heating Detailed Costs'!E33</f>
        <v>62.4</v>
      </c>
      <c r="Q44" s="725" t="s">
        <v>1157</v>
      </c>
      <c r="R44" s="725" t="s">
        <v>1157</v>
      </c>
      <c r="S44" s="725" t="s">
        <v>1157</v>
      </c>
      <c r="T44" s="725" t="s">
        <v>1157</v>
      </c>
      <c r="U44" s="725" t="s">
        <v>1157</v>
      </c>
      <c r="V44" s="725" t="s">
        <v>1157</v>
      </c>
      <c r="W44" s="725" t="s">
        <v>1157</v>
      </c>
      <c r="X44" s="725" t="s">
        <v>1157</v>
      </c>
      <c r="Y44" s="725" t="s">
        <v>1157</v>
      </c>
      <c r="Z44" s="725" t="s">
        <v>1157</v>
      </c>
      <c r="AA44" s="725" t="s">
        <v>1157</v>
      </c>
      <c r="AB44" s="725" t="s">
        <v>1157</v>
      </c>
      <c r="AC44" s="725" t="s">
        <v>1157</v>
      </c>
      <c r="AD44" s="725" t="s">
        <v>1157</v>
      </c>
      <c r="AE44" s="1069" t="s">
        <v>1157</v>
      </c>
    </row>
    <row r="45" spans="1:32" s="158" customFormat="1" ht="21" customHeight="1" x14ac:dyDescent="0.25">
      <c r="A45" s="20"/>
      <c r="B45" s="285"/>
      <c r="C45" s="5"/>
      <c r="D45" s="834"/>
      <c r="E45" s="733"/>
      <c r="F45" s="733"/>
      <c r="G45" s="733"/>
      <c r="H45" s="733"/>
      <c r="I45" s="733"/>
      <c r="J45" s="733"/>
      <c r="K45" s="733"/>
      <c r="L45" s="733"/>
      <c r="M45" s="733"/>
      <c r="N45" s="733"/>
      <c r="O45" s="733"/>
      <c r="P45" s="733"/>
      <c r="Q45" s="733"/>
      <c r="R45" s="733"/>
      <c r="S45" s="733"/>
      <c r="T45" s="733"/>
      <c r="U45" s="733"/>
      <c r="V45" s="733"/>
      <c r="W45" s="733"/>
      <c r="X45" s="733"/>
      <c r="Y45" s="733"/>
      <c r="Z45" s="733"/>
      <c r="AA45" s="733"/>
      <c r="AB45" s="733"/>
      <c r="AC45" s="733"/>
      <c r="AD45" s="733"/>
      <c r="AE45" s="734"/>
    </row>
    <row r="46" spans="1:32" s="158" customFormat="1" ht="21" customHeight="1" x14ac:dyDescent="0.25">
      <c r="A46" s="20"/>
      <c r="B46" s="5"/>
      <c r="C46" s="5"/>
      <c r="D46" s="834" t="s">
        <v>32</v>
      </c>
      <c r="E46" s="735">
        <f>$L$163</f>
        <v>80</v>
      </c>
      <c r="F46" s="735">
        <f t="shared" ref="F46:F55" si="0">$L$161</f>
        <v>50</v>
      </c>
      <c r="G46" s="735">
        <f t="shared" ref="G46:G55" si="1">$L$162</f>
        <v>50</v>
      </c>
      <c r="H46" s="735">
        <f t="shared" ref="H46:H55" si="2">$L$164</f>
        <v>50</v>
      </c>
      <c r="I46" s="735">
        <f>($I$43*'19 General Wages'!I9)*(1+'21 Sales Taxes'!G8+'19 General Wages'!L9)*(1+$C$8) + $I$44*(1+'21 Sales Taxes'!H8)*(1+$C$9)</f>
        <v>1028.7308746804288</v>
      </c>
      <c r="J46" s="735">
        <f>$C$72*'19 General Wages'!V9</f>
        <v>434.38424139069025</v>
      </c>
      <c r="K46" s="735">
        <f>($K$43*'19 General Wages'!I9)*(1+'21 Sales Taxes'!G8+'19 General Wages'!L9)*(1+$C$8) + $K$44*(1+'21 Sales Taxes'!H8)*(1+$C$9)</f>
        <v>269.50538972792924</v>
      </c>
      <c r="L46" s="735">
        <f>($K$43*'19 General Wages'!I9)*(1+'21 Sales Taxes'!G8+'19 General Wages'!L9)*(1+$C$8) + $K$44*(1+'21 Sales Taxes'!H8)*(1+$C$9)</f>
        <v>269.50538972792924</v>
      </c>
      <c r="M46" s="735">
        <f>($M$43*'19 General Wages'!J9)*(1+'21 Sales Taxes'!G8+'19 General Wages'!L9)*(1+$C$8) + $M$44*(1+'21 Sales Taxes'!H8)*(1+$C$9)</f>
        <v>856.65760173061017</v>
      </c>
      <c r="N46" s="735">
        <f>($N$43*'19 General Wages'!I9)*(1+'21 Sales Taxes'!G8+'19 General Wages'!L9)*(1+$C$8) + $N$44*(1+'21 Sales Taxes'!H8)*(1+$C$9)</f>
        <v>269.50538972792924</v>
      </c>
      <c r="O46" s="735">
        <f>($I$43*'19 General Wages'!I9)*(1+'21 Sales Taxes'!G8+'19 General Wages'!L9)*(1+$C$8) + $I$44*(1+'21 Sales Taxes'!H8)*(1+$C$9)</f>
        <v>1028.7308746804288</v>
      </c>
      <c r="P46" s="735">
        <f>'13 Space Heating Costs'!E11</f>
        <v>709.90524534920041</v>
      </c>
      <c r="Q46" s="735">
        <f t="shared" ref="Q46:Q52" si="3">O104</f>
        <v>1178.0738920091635</v>
      </c>
      <c r="R46" s="735">
        <f t="shared" ref="R46:R55" si="4">M119</f>
        <v>759.4723917509067</v>
      </c>
      <c r="S46" s="735">
        <f t="shared" ref="S46:S55" si="5">N119</f>
        <v>2366.0178571041974</v>
      </c>
      <c r="T46" s="735">
        <f t="shared" ref="T46:T55" si="6">O119</f>
        <v>759.4723917509067</v>
      </c>
      <c r="U46" s="735">
        <f t="shared" ref="U46:U55" si="7">P119</f>
        <v>2366.0178571041974</v>
      </c>
      <c r="V46" s="735">
        <f t="shared" ref="V46:V54" si="8">M104</f>
        <v>986.16035114064414</v>
      </c>
      <c r="W46" s="735">
        <f t="shared" ref="W46:W55" si="9">M133</f>
        <v>570.51900005857317</v>
      </c>
      <c r="X46" s="735">
        <f t="shared" ref="X46:X55" si="10">N133</f>
        <v>1523.2857301563904</v>
      </c>
      <c r="Y46" s="735">
        <f t="shared" ref="Y46:Y55" si="11">O133</f>
        <v>570.51900005857317</v>
      </c>
      <c r="Z46" s="735">
        <f t="shared" ref="Z46:Z55" si="12">P133</f>
        <v>1523.2857301563904</v>
      </c>
      <c r="AA46" s="735">
        <f t="shared" ref="AA46:AA55" si="13">N104</f>
        <v>1785.8001047594748</v>
      </c>
      <c r="AB46" s="735">
        <f t="shared" ref="AB46:AB47" si="14">M147</f>
        <v>855.7785000878597</v>
      </c>
      <c r="AC46" s="735">
        <f t="shared" ref="AC46:AC47" si="15">N147</f>
        <v>2795.5431002870082</v>
      </c>
      <c r="AD46" s="735">
        <f t="shared" ref="AD46:AD47" si="16">O147</f>
        <v>855.7785000878597</v>
      </c>
      <c r="AE46" s="736">
        <f t="shared" ref="AE46:AE47" si="17">P147</f>
        <v>2795.5431002870082</v>
      </c>
    </row>
    <row r="47" spans="1:32" s="158" customFormat="1" ht="21" customHeight="1" x14ac:dyDescent="0.25">
      <c r="A47" s="20"/>
      <c r="B47" s="5"/>
      <c r="C47" s="5"/>
      <c r="D47" s="834" t="s">
        <v>60</v>
      </c>
      <c r="E47" s="735">
        <f t="shared" ref="E47:E55" si="18">$L$163</f>
        <v>80</v>
      </c>
      <c r="F47" s="735">
        <f t="shared" si="0"/>
        <v>50</v>
      </c>
      <c r="G47" s="735">
        <f t="shared" si="1"/>
        <v>50</v>
      </c>
      <c r="H47" s="735">
        <f t="shared" si="2"/>
        <v>50</v>
      </c>
      <c r="I47" s="735">
        <f>($I$43*'19 General Wages'!I10)*(1+'21 Sales Taxes'!G9+'19 General Wages'!L10)*(1+$C$8) + $I$44*(1+'21 Sales Taxes'!H9)*(1+$C$9)</f>
        <v>1038.5274595876972</v>
      </c>
      <c r="J47" s="735">
        <f>$C$72*'19 General Wages'!V10</f>
        <v>459.51233911240246</v>
      </c>
      <c r="K47" s="735">
        <f>($K$43*'19 General Wages'!I10)*(1+'21 Sales Taxes'!G9+'19 General Wages'!L10)*(1+$C$8) + $K$44*(1+'21 Sales Taxes'!H9)*(1+$C$9)</f>
        <v>285.03926818490447</v>
      </c>
      <c r="L47" s="735">
        <f>($K$43*'19 General Wages'!I10)*(1+'21 Sales Taxes'!G9+'19 General Wages'!L10)*(1+$C$8) + $K$44*(1+'21 Sales Taxes'!H9)*(1+$C$9)</f>
        <v>285.03926818490447</v>
      </c>
      <c r="M47" s="735">
        <f>($M$43*'19 General Wages'!J10)*(1+'21 Sales Taxes'!G9+'19 General Wages'!L10)*(1+$C$8) + $M$44*(1+'21 Sales Taxes'!H9)*(1+$C$9)</f>
        <v>907.15995002967838</v>
      </c>
      <c r="N47" s="735">
        <f>($N$43*'19 General Wages'!I10)*(1+'21 Sales Taxes'!G9+'19 General Wages'!L10)*(1+$C$8) + $N$44*(1+'21 Sales Taxes'!H9)*(1+$C$9)</f>
        <v>285.03926818490447</v>
      </c>
      <c r="O47" s="735">
        <f>($I$43*'19 General Wages'!I10)*(1+'21 Sales Taxes'!G9+'19 General Wages'!L10)*(1+$C$8) + $I$44*(1+'21 Sales Taxes'!H9)*(1+$C$9)</f>
        <v>1038.5274595876972</v>
      </c>
      <c r="P47" s="735">
        <f>'13 Space Heating Costs'!E12</f>
        <v>756.57554097591878</v>
      </c>
      <c r="Q47" s="735">
        <f t="shared" si="3"/>
        <v>1160.6700870752838</v>
      </c>
      <c r="R47" s="735">
        <f t="shared" si="4"/>
        <v>715.80847658991217</v>
      </c>
      <c r="S47" s="735">
        <f t="shared" si="5"/>
        <v>2218.2264418058471</v>
      </c>
      <c r="T47" s="735">
        <f t="shared" si="6"/>
        <v>715.80847658991217</v>
      </c>
      <c r="U47" s="735">
        <f t="shared" si="7"/>
        <v>2218.2264418058471</v>
      </c>
      <c r="V47" s="735">
        <f t="shared" si="8"/>
        <v>970.3683177455523</v>
      </c>
      <c r="W47" s="735">
        <f t="shared" si="9"/>
        <v>544.29014736601198</v>
      </c>
      <c r="X47" s="735">
        <f t="shared" si="10"/>
        <v>1453.2546934672521</v>
      </c>
      <c r="Y47" s="735">
        <f t="shared" si="11"/>
        <v>544.29014736601198</v>
      </c>
      <c r="Z47" s="735">
        <f t="shared" si="12"/>
        <v>1453.2546934672521</v>
      </c>
      <c r="AA47" s="735">
        <f t="shared" si="13"/>
        <v>1763.2923566194331</v>
      </c>
      <c r="AB47" s="735">
        <f t="shared" si="14"/>
        <v>816.43522104901797</v>
      </c>
      <c r="AC47" s="735">
        <f t="shared" si="15"/>
        <v>2667.0217220934587</v>
      </c>
      <c r="AD47" s="735">
        <f t="shared" si="16"/>
        <v>816.43522104901797</v>
      </c>
      <c r="AE47" s="736">
        <f t="shared" si="17"/>
        <v>2667.0217220934587</v>
      </c>
    </row>
    <row r="48" spans="1:32" s="158" customFormat="1" ht="21" customHeight="1" x14ac:dyDescent="0.25">
      <c r="A48" s="20"/>
      <c r="B48" s="5"/>
      <c r="C48" s="5"/>
      <c r="D48" s="834" t="s">
        <v>41</v>
      </c>
      <c r="E48" s="735">
        <f t="shared" si="18"/>
        <v>80</v>
      </c>
      <c r="F48" s="735">
        <f t="shared" si="0"/>
        <v>50</v>
      </c>
      <c r="G48" s="735">
        <f t="shared" si="1"/>
        <v>50</v>
      </c>
      <c r="H48" s="735">
        <f t="shared" si="2"/>
        <v>50</v>
      </c>
      <c r="I48" s="735">
        <f>($I$43*'19 General Wages'!I11)*(1+'21 Sales Taxes'!G10+'19 General Wages'!L11)*(1+$C$8) + $I$44*(1+'21 Sales Taxes'!H10)*(1+$C$9)</f>
        <v>1030.0582004021371</v>
      </c>
      <c r="J48" s="735">
        <f>$C$72*'19 General Wages'!V11</f>
        <v>416.04055025788728</v>
      </c>
      <c r="K48" s="735">
        <f>($K$43*'19 General Wages'!I11)*(1+'21 Sales Taxes'!G10+'19 General Wages'!L11)*(1+$C$8) + $K$44*(1+'21 Sales Taxes'!H10)*(1+$C$9)</f>
        <v>261.06760508478112</v>
      </c>
      <c r="L48" s="735">
        <f>($K$43*'19 General Wages'!I11)*(1+'21 Sales Taxes'!G10+'19 General Wages'!L11)*(1+$C$8) + $K$44*(1+'21 Sales Taxes'!H10)*(1+$C$9)</f>
        <v>261.06760508478112</v>
      </c>
      <c r="M48" s="735">
        <f>($M$43*'19 General Wages'!J11)*(1+'21 Sales Taxes'!G10+'19 General Wages'!L11)*(1+$C$8) + $M$44*(1+'21 Sales Taxes'!H10)*(1+$C$9)</f>
        <v>843.35029717663917</v>
      </c>
      <c r="N48" s="735">
        <f>($N$43*'19 General Wages'!I11)*(1+'21 Sales Taxes'!G10+'19 General Wages'!L11)*(1+$C$8) + $N$44*(1+'21 Sales Taxes'!H10)*(1+$C$9)</f>
        <v>261.06760508478112</v>
      </c>
      <c r="O48" s="735">
        <f>($I$43*'19 General Wages'!I11)*(1+'21 Sales Taxes'!G10+'19 General Wages'!L11)*(1+$C$8) + $I$44*(1+'21 Sales Taxes'!H10)*(1+$C$9)</f>
        <v>1030.0582004021371</v>
      </c>
      <c r="P48" s="735">
        <f>'13 Space Heating Costs'!E13</f>
        <v>696.85804799962432</v>
      </c>
      <c r="Q48" s="735">
        <f t="shared" si="3"/>
        <v>0</v>
      </c>
      <c r="R48" s="735">
        <f t="shared" si="4"/>
        <v>654.31794257235822</v>
      </c>
      <c r="S48" s="735">
        <f t="shared" si="5"/>
        <v>2002.709404141641</v>
      </c>
      <c r="T48" s="735">
        <f t="shared" si="6"/>
        <v>654.31794257235822</v>
      </c>
      <c r="U48" s="735">
        <f t="shared" si="7"/>
        <v>2002.709404141641</v>
      </c>
      <c r="V48" s="735">
        <f t="shared" si="8"/>
        <v>0</v>
      </c>
      <c r="W48" s="735">
        <f t="shared" si="9"/>
        <v>511.47967582741728</v>
      </c>
      <c r="X48" s="735">
        <f t="shared" si="10"/>
        <v>1365.6507344592042</v>
      </c>
      <c r="Y48" s="735">
        <f t="shared" si="11"/>
        <v>511.47967582741728</v>
      </c>
      <c r="Z48" s="735">
        <f t="shared" si="12"/>
        <v>1365.6507344592042</v>
      </c>
      <c r="AA48" s="735">
        <f t="shared" si="13"/>
        <v>0</v>
      </c>
      <c r="AB48" s="735">
        <f t="shared" ref="AB48:AE55" si="19">M149</f>
        <v>767.21951374112587</v>
      </c>
      <c r="AC48" s="735">
        <f t="shared" si="19"/>
        <v>2506.2504115543447</v>
      </c>
      <c r="AD48" s="735">
        <f t="shared" si="19"/>
        <v>767.21951374112587</v>
      </c>
      <c r="AE48" s="736">
        <f t="shared" si="19"/>
        <v>2506.2504115543447</v>
      </c>
    </row>
    <row r="49" spans="1:31" s="158" customFormat="1" ht="21" customHeight="1" x14ac:dyDescent="0.25">
      <c r="A49" s="20"/>
      <c r="B49" s="5"/>
      <c r="C49" s="5"/>
      <c r="D49" s="834" t="s">
        <v>44</v>
      </c>
      <c r="E49" s="735">
        <f t="shared" si="18"/>
        <v>80</v>
      </c>
      <c r="F49" s="735">
        <f t="shared" si="0"/>
        <v>50</v>
      </c>
      <c r="G49" s="735">
        <f t="shared" si="1"/>
        <v>50</v>
      </c>
      <c r="H49" s="735">
        <f t="shared" si="2"/>
        <v>50</v>
      </c>
      <c r="I49" s="735">
        <f>($I$43*'19 General Wages'!I12)*(1+'21 Sales Taxes'!G11+'19 General Wages'!L12)*(1+$C$8) + $I$44*(1+'21 Sales Taxes'!H11)*(1+$C$9)</f>
        <v>1019.7733001269207</v>
      </c>
      <c r="J49" s="735">
        <f>$C$72*'19 General Wages'!V12</f>
        <v>383.16038922841244</v>
      </c>
      <c r="K49" s="735">
        <f>($K$43*'19 General Wages'!I12)*(1+'21 Sales Taxes'!G11+'19 General Wages'!L12)*(1+$C$8) + $K$44*(1+'21 Sales Taxes'!H11)*(1+$C$9)</f>
        <v>244.8734047209694</v>
      </c>
      <c r="L49" s="735">
        <f>($K$43*'19 General Wages'!I12)*(1+'21 Sales Taxes'!G11+'19 General Wages'!L12)*(1+$C$8) + $K$44*(1+'21 Sales Taxes'!H11)*(1+$C$9)</f>
        <v>244.8734047209694</v>
      </c>
      <c r="M49" s="735">
        <f>($M$43*'19 General Wages'!J12)*(1+'21 Sales Taxes'!G11+'19 General Wages'!L12)*(1+$C$8) + $M$44*(1+'21 Sales Taxes'!H11)*(1+$C$9)</f>
        <v>820.68358859944465</v>
      </c>
      <c r="N49" s="735">
        <f>($N$43*'19 General Wages'!I12)*(1+'21 Sales Taxes'!G11+'19 General Wages'!L12)*(1+$C$8) + $N$44*(1+'21 Sales Taxes'!H11)*(1+$C$9)</f>
        <v>244.8734047209694</v>
      </c>
      <c r="O49" s="735">
        <f>($I$43*'19 General Wages'!I12)*(1+'21 Sales Taxes'!G11+'19 General Wages'!L12)*(1+$C$8) + $I$44*(1+'21 Sales Taxes'!H11)*(1+$C$9)</f>
        <v>1019.7733001269207</v>
      </c>
      <c r="P49" s="735">
        <f>'13 Space Heating Costs'!E14</f>
        <v>675.67300298865632</v>
      </c>
      <c r="Q49" s="735">
        <f t="shared" si="3"/>
        <v>0</v>
      </c>
      <c r="R49" s="735">
        <f t="shared" si="4"/>
        <v>663.89772846619303</v>
      </c>
      <c r="S49" s="735">
        <f t="shared" si="5"/>
        <v>2044.0832635139996</v>
      </c>
      <c r="T49" s="735">
        <f t="shared" si="6"/>
        <v>663.89772846619303</v>
      </c>
      <c r="U49" s="735">
        <f t="shared" si="7"/>
        <v>2044.0832635139996</v>
      </c>
      <c r="V49" s="735">
        <f t="shared" si="8"/>
        <v>0</v>
      </c>
      <c r="W49" s="735">
        <f t="shared" si="9"/>
        <v>512.23497510906213</v>
      </c>
      <c r="X49" s="735">
        <f t="shared" si="10"/>
        <v>1367.6673835411959</v>
      </c>
      <c r="Y49" s="735">
        <f t="shared" si="11"/>
        <v>512.23497510906213</v>
      </c>
      <c r="Z49" s="735">
        <f t="shared" si="12"/>
        <v>1367.6673835411959</v>
      </c>
      <c r="AA49" s="735">
        <f t="shared" si="13"/>
        <v>0</v>
      </c>
      <c r="AB49" s="735">
        <f t="shared" si="19"/>
        <v>768.3524626635932</v>
      </c>
      <c r="AC49" s="735">
        <f t="shared" si="19"/>
        <v>2509.9513780344046</v>
      </c>
      <c r="AD49" s="735">
        <f t="shared" si="19"/>
        <v>768.3524626635932</v>
      </c>
      <c r="AE49" s="736">
        <f t="shared" si="19"/>
        <v>2509.9513780344046</v>
      </c>
    </row>
    <row r="50" spans="1:31" s="158" customFormat="1" ht="21" customHeight="1" x14ac:dyDescent="0.25">
      <c r="A50" s="20"/>
      <c r="B50" s="5"/>
      <c r="C50" s="5"/>
      <c r="D50" s="834" t="s">
        <v>34</v>
      </c>
      <c r="E50" s="735">
        <f t="shared" si="18"/>
        <v>80</v>
      </c>
      <c r="F50" s="735">
        <f t="shared" si="0"/>
        <v>50</v>
      </c>
      <c r="G50" s="735">
        <f t="shared" si="1"/>
        <v>50</v>
      </c>
      <c r="H50" s="735">
        <f t="shared" si="2"/>
        <v>50</v>
      </c>
      <c r="I50" s="735">
        <f>($I$43*'19 General Wages'!I13)*(1+'21 Sales Taxes'!G12+'19 General Wages'!L13)*(1+$C$8) + $I$44*(1+'21 Sales Taxes'!H12)*(1+$C$9)</f>
        <v>958.6717880951943</v>
      </c>
      <c r="J50" s="735">
        <f>$C$72*'19 General Wages'!V13</f>
        <v>308.43087360740975</v>
      </c>
      <c r="K50" s="735">
        <f>($K$43*'19 General Wages'!I13)*(1+'21 Sales Taxes'!G12+'19 General Wages'!L13)*(1+$C$8) + $K$44*(1+'21 Sales Taxes'!H12)*(1+$C$9)</f>
        <v>186.22577148851013</v>
      </c>
      <c r="L50" s="735">
        <f>($K$43*'19 General Wages'!I13)*(1+'21 Sales Taxes'!G12+'19 General Wages'!L13)*(1+$C$8) + $K$44*(1+'21 Sales Taxes'!H12)*(1+$C$9)</f>
        <v>186.22577148851013</v>
      </c>
      <c r="M50" s="735">
        <f>($M$43*'19 General Wages'!J13)*(1+'21 Sales Taxes'!G12+'19 General Wages'!L13)*(1+$C$8) + $M$44*(1+'21 Sales Taxes'!H12)*(1+$C$9)</f>
        <v>697.24587310345714</v>
      </c>
      <c r="N50" s="735">
        <f>($N$43*'19 General Wages'!I13)*(1+'21 Sales Taxes'!G12+'19 General Wages'!L13)*(1+$C$8) + $N$44*(1+'21 Sales Taxes'!H12)*(1+$C$9)</f>
        <v>186.22577148851013</v>
      </c>
      <c r="O50" s="735">
        <f>($I$43*'19 General Wages'!I13)*(1+'21 Sales Taxes'!G12+'19 General Wages'!L13)*(1+$C$8) + $I$44*(1+'21 Sales Taxes'!H12)*(1+$C$9)</f>
        <v>958.6717880951943</v>
      </c>
      <c r="P50" s="735">
        <f>'13 Space Heating Costs'!E15</f>
        <v>563.35204497488803</v>
      </c>
      <c r="Q50" s="735">
        <f t="shared" si="3"/>
        <v>0</v>
      </c>
      <c r="R50" s="735">
        <f t="shared" si="4"/>
        <v>533.73229769988541</v>
      </c>
      <c r="S50" s="735">
        <f t="shared" si="5"/>
        <v>1559.2137217329876</v>
      </c>
      <c r="T50" s="735">
        <f t="shared" si="6"/>
        <v>533.73229769988541</v>
      </c>
      <c r="U50" s="735">
        <f t="shared" si="7"/>
        <v>1559.2137217329876</v>
      </c>
      <c r="V50" s="735">
        <f t="shared" si="8"/>
        <v>0</v>
      </c>
      <c r="W50" s="735">
        <f t="shared" si="9"/>
        <v>458.78900894329661</v>
      </c>
      <c r="X50" s="735">
        <f t="shared" si="10"/>
        <v>1224.9666538786018</v>
      </c>
      <c r="Y50" s="735">
        <f t="shared" si="11"/>
        <v>458.78900894329661</v>
      </c>
      <c r="Z50" s="735">
        <f t="shared" si="12"/>
        <v>1224.9666538786018</v>
      </c>
      <c r="AA50" s="735">
        <f t="shared" si="13"/>
        <v>0</v>
      </c>
      <c r="AB50" s="735">
        <f t="shared" si="19"/>
        <v>688.18351341494485</v>
      </c>
      <c r="AC50" s="735">
        <f t="shared" si="19"/>
        <v>2248.0661438221532</v>
      </c>
      <c r="AD50" s="735">
        <f t="shared" si="19"/>
        <v>688.18351341494485</v>
      </c>
      <c r="AE50" s="736">
        <f t="shared" si="19"/>
        <v>2248.0661438221532</v>
      </c>
    </row>
    <row r="51" spans="1:31" s="158" customFormat="1" ht="21" customHeight="1" x14ac:dyDescent="0.25">
      <c r="A51" s="20"/>
      <c r="B51" s="287"/>
      <c r="C51" s="5"/>
      <c r="D51" s="834" t="s">
        <v>20</v>
      </c>
      <c r="E51" s="735">
        <f t="shared" si="18"/>
        <v>80</v>
      </c>
      <c r="F51" s="735">
        <f t="shared" si="0"/>
        <v>50</v>
      </c>
      <c r="G51" s="735">
        <f t="shared" si="1"/>
        <v>50</v>
      </c>
      <c r="H51" s="735">
        <f t="shared" si="2"/>
        <v>50</v>
      </c>
      <c r="I51" s="735">
        <f>($I$43*'19 General Wages'!I14)*(1+'21 Sales Taxes'!G13+'19 General Wages'!L14)*(1+$C$8) + $I$44*(1+'21 Sales Taxes'!H13)*(1+$C$9)</f>
        <v>975.02037758006929</v>
      </c>
      <c r="J51" s="735">
        <f>$C$72*'19 General Wages'!V14</f>
        <v>309.49063082122399</v>
      </c>
      <c r="K51" s="735">
        <f>($K$43*'19 General Wages'!I14)*(1+'21 Sales Taxes'!G13+'19 General Wages'!L14)*(1+$C$8) + $K$44*(1+'21 Sales Taxes'!H13)*(1+$C$9)</f>
        <v>192.03314758917597</v>
      </c>
      <c r="L51" s="735">
        <f>($K$43*'19 General Wages'!I14)*(1+'21 Sales Taxes'!G13+'19 General Wages'!L14)*(1+$C$8) + $K$44*(1+'21 Sales Taxes'!H13)*(1+$C$9)</f>
        <v>192.03314758917597</v>
      </c>
      <c r="M51" s="735">
        <f>($M$43*'19 General Wages'!J14)*(1+'21 Sales Taxes'!G13+'19 General Wages'!L14)*(1+$C$8) + $M$44*(1+'21 Sales Taxes'!H13)*(1+$C$9)</f>
        <v>704.43969835010193</v>
      </c>
      <c r="N51" s="735">
        <f>($N$43*'19 General Wages'!I14)*(1+'21 Sales Taxes'!G13+'19 General Wages'!L14)*(1+$C$8) + $N$44*(1+'21 Sales Taxes'!H13)*(1+$C$9)</f>
        <v>192.03314758917597</v>
      </c>
      <c r="O51" s="735">
        <f>($I$43*'19 General Wages'!I14)*(1+'21 Sales Taxes'!G13+'19 General Wages'!L14)*(1+$C$8) + $I$44*(1+'21 Sales Taxes'!H13)*(1+$C$9)</f>
        <v>975.02037758006929</v>
      </c>
      <c r="P51" s="735">
        <f>'13 Space Heating Costs'!E16</f>
        <v>568.88553619295817</v>
      </c>
      <c r="Q51" s="735">
        <f t="shared" si="3"/>
        <v>0</v>
      </c>
      <c r="R51" s="735">
        <f t="shared" si="4"/>
        <v>488.66286004674561</v>
      </c>
      <c r="S51" s="735">
        <f t="shared" si="5"/>
        <v>1418.775061274617</v>
      </c>
      <c r="T51" s="735">
        <f t="shared" si="6"/>
        <v>488.66286004674561</v>
      </c>
      <c r="U51" s="735">
        <f t="shared" si="7"/>
        <v>1418.775061274617</v>
      </c>
      <c r="V51" s="735">
        <f t="shared" si="8"/>
        <v>0</v>
      </c>
      <c r="W51" s="735">
        <f t="shared" si="9"/>
        <v>424.95044387366943</v>
      </c>
      <c r="X51" s="735">
        <f t="shared" si="10"/>
        <v>1134.6176851426974</v>
      </c>
      <c r="Y51" s="735">
        <f t="shared" si="11"/>
        <v>424.95044387366943</v>
      </c>
      <c r="Z51" s="735">
        <f t="shared" si="12"/>
        <v>1134.6176851426974</v>
      </c>
      <c r="AA51" s="735">
        <f t="shared" si="13"/>
        <v>0</v>
      </c>
      <c r="AB51" s="735">
        <f t="shared" si="19"/>
        <v>637.42566581050414</v>
      </c>
      <c r="AC51" s="735">
        <f t="shared" si="19"/>
        <v>2082.2571749809804</v>
      </c>
      <c r="AD51" s="735">
        <f t="shared" si="19"/>
        <v>637.42566581050414</v>
      </c>
      <c r="AE51" s="736">
        <f t="shared" si="19"/>
        <v>2082.2571749809804</v>
      </c>
    </row>
    <row r="52" spans="1:31" s="158" customFormat="1" ht="21" customHeight="1" x14ac:dyDescent="0.25">
      <c r="A52" s="20"/>
      <c r="B52" s="5"/>
      <c r="C52" s="5"/>
      <c r="D52" s="834" t="s">
        <v>27</v>
      </c>
      <c r="E52" s="735">
        <f t="shared" si="18"/>
        <v>80</v>
      </c>
      <c r="F52" s="735">
        <f t="shared" si="0"/>
        <v>50</v>
      </c>
      <c r="G52" s="735">
        <f t="shared" si="1"/>
        <v>50</v>
      </c>
      <c r="H52" s="735">
        <f t="shared" si="2"/>
        <v>50</v>
      </c>
      <c r="I52" s="735">
        <f>($I$43*'19 General Wages'!I15)*(1+'21 Sales Taxes'!G14+'19 General Wages'!L15)*(1+$C$8) + $I$44*(1+'21 Sales Taxes'!H14)*(1+$C$9)</f>
        <v>995.48073934694628</v>
      </c>
      <c r="J52" s="735">
        <f>$C$72*'19 General Wages'!V15</f>
        <v>314.36197917465944</v>
      </c>
      <c r="K52" s="735">
        <f>($K$43*'19 General Wages'!I15)*(1+'21 Sales Taxes'!G14+'19 General Wages'!L15)*(1+$C$8) + $K$44*(1+'21 Sales Taxes'!H14)*(1+$C$9)</f>
        <v>200.72442437999655</v>
      </c>
      <c r="L52" s="735">
        <f>($K$43*'19 General Wages'!I15)*(1+'21 Sales Taxes'!G14+'19 General Wages'!L15)*(1+$C$8) + $K$44*(1+'21 Sales Taxes'!H14)*(1+$C$9)</f>
        <v>200.72442437999655</v>
      </c>
      <c r="M52" s="735">
        <f>($M$43*'19 General Wages'!J15)*(1+'21 Sales Taxes'!G14+'19 General Wages'!L15)*(1+$C$8) + $M$44*(1+'21 Sales Taxes'!H14)*(1+$C$9)</f>
        <v>715.2121519754628</v>
      </c>
      <c r="N52" s="735">
        <f>($N$43*'19 General Wages'!I15)*(1+'21 Sales Taxes'!G14+'19 General Wages'!L15)*(1+$C$8) + $N$44*(1+'21 Sales Taxes'!H14)*(1+$C$9)</f>
        <v>200.72442437999655</v>
      </c>
      <c r="O52" s="735">
        <f>($I$43*'19 General Wages'!I15)*(1+'21 Sales Taxes'!G14+'19 General Wages'!L15)*(1+$C$8) + $I$44*(1+'21 Sales Taxes'!H14)*(1+$C$9)</f>
        <v>995.48073934694628</v>
      </c>
      <c r="P52" s="735">
        <f>'13 Space Heating Costs'!E17</f>
        <v>577.5547975634089</v>
      </c>
      <c r="Q52" s="735">
        <f t="shared" si="3"/>
        <v>0</v>
      </c>
      <c r="R52" s="735">
        <f t="shared" si="4"/>
        <v>502.55775867477183</v>
      </c>
      <c r="S52" s="735">
        <f t="shared" si="5"/>
        <v>1433.2444584217772</v>
      </c>
      <c r="T52" s="735">
        <f t="shared" si="6"/>
        <v>502.55775867477183</v>
      </c>
      <c r="U52" s="735">
        <f t="shared" si="7"/>
        <v>1433.2444584217772</v>
      </c>
      <c r="V52" s="735">
        <f t="shared" si="8"/>
        <v>0</v>
      </c>
      <c r="W52" s="735">
        <f t="shared" si="9"/>
        <v>451.4877906523493</v>
      </c>
      <c r="X52" s="735">
        <f t="shared" si="10"/>
        <v>1205.4724010417726</v>
      </c>
      <c r="Y52" s="735">
        <f t="shared" si="11"/>
        <v>451.4877906523493</v>
      </c>
      <c r="Z52" s="735">
        <f t="shared" si="12"/>
        <v>1205.4724010417726</v>
      </c>
      <c r="AA52" s="735">
        <f t="shared" si="13"/>
        <v>0</v>
      </c>
      <c r="AB52" s="735">
        <f t="shared" si="19"/>
        <v>677.23168597852396</v>
      </c>
      <c r="AC52" s="735">
        <f t="shared" si="19"/>
        <v>2212.2901741965115</v>
      </c>
      <c r="AD52" s="735">
        <f t="shared" si="19"/>
        <v>677.23168597852396</v>
      </c>
      <c r="AE52" s="736">
        <f t="shared" si="19"/>
        <v>2212.2901741965115</v>
      </c>
    </row>
    <row r="53" spans="1:31" s="158" customFormat="1" ht="21" customHeight="1" x14ac:dyDescent="0.25">
      <c r="A53" s="20"/>
      <c r="B53" s="5"/>
      <c r="C53" s="5"/>
      <c r="D53" s="834" t="s">
        <v>25</v>
      </c>
      <c r="E53" s="735">
        <f t="shared" si="18"/>
        <v>80</v>
      </c>
      <c r="F53" s="735">
        <f t="shared" si="0"/>
        <v>50</v>
      </c>
      <c r="G53" s="735">
        <f t="shared" si="1"/>
        <v>50</v>
      </c>
      <c r="H53" s="735">
        <f t="shared" si="2"/>
        <v>50</v>
      </c>
      <c r="I53" s="735">
        <f>($I$43*'19 General Wages'!I16)*(1+'21 Sales Taxes'!G15+'19 General Wages'!L16)*(1+$C$8) + $I$44*(1+'21 Sales Taxes'!H15)*(1+$C$9)</f>
        <v>993.59018113337447</v>
      </c>
      <c r="J53" s="735">
        <f>$C$72*'19 General Wages'!V16</f>
        <v>344.91392149233087</v>
      </c>
      <c r="K53" s="735">
        <f>($K$43*'19 General Wages'!I16)*(1+'21 Sales Taxes'!G15+'19 General Wages'!L16)*(1+$C$8) + $K$44*(1+'21 Sales Taxes'!H15)*(1+$C$9)</f>
        <v>215.12388662938477</v>
      </c>
      <c r="L53" s="735">
        <f>($K$43*'19 General Wages'!I16)*(1+'21 Sales Taxes'!G15+'19 General Wages'!L16)*(1+$C$8) + $K$44*(1+'21 Sales Taxes'!H15)*(1+$C$9)</f>
        <v>215.12388662938477</v>
      </c>
      <c r="M53" s="735">
        <f>($M$43*'19 General Wages'!J16)*(1+'21 Sales Taxes'!G15+'19 General Wages'!L16)*(1+$C$8) + $M$44*(1+'21 Sales Taxes'!H15)*(1+$C$9)</f>
        <v>748.15393520014243</v>
      </c>
      <c r="N53" s="735">
        <f>($N$43*'19 General Wages'!I16)*(1+'21 Sales Taxes'!G15+'19 General Wages'!L16)*(1+$C$8) + $N$44*(1+'21 Sales Taxes'!H15)*(1+$C$9)</f>
        <v>215.12388662938477</v>
      </c>
      <c r="O53" s="735">
        <f>($I$43*'19 General Wages'!I16)*(1+'21 Sales Taxes'!G15+'19 General Wages'!L16)*(1+$C$8) + $I$44*(1+'21 Sales Taxes'!H15)*(1+$C$9)</f>
        <v>993.59018113337447</v>
      </c>
      <c r="P53" s="735">
        <f>'13 Space Heating Costs'!E18</f>
        <v>609.1569059829576</v>
      </c>
      <c r="Q53" s="735">
        <f>O107</f>
        <v>0</v>
      </c>
      <c r="R53" s="735">
        <f t="shared" si="4"/>
        <v>581.74062273292998</v>
      </c>
      <c r="S53" s="735">
        <f t="shared" si="5"/>
        <v>1738.7765375010299</v>
      </c>
      <c r="T53" s="735">
        <f t="shared" si="6"/>
        <v>581.74062273292998</v>
      </c>
      <c r="U53" s="735">
        <f t="shared" si="7"/>
        <v>1738.7765375010299</v>
      </c>
      <c r="V53" s="735">
        <f t="shared" si="8"/>
        <v>0</v>
      </c>
      <c r="W53" s="735">
        <f t="shared" si="9"/>
        <v>478.09309490940643</v>
      </c>
      <c r="X53" s="735">
        <f t="shared" si="10"/>
        <v>1276.5085634081152</v>
      </c>
      <c r="Y53" s="735">
        <f t="shared" si="11"/>
        <v>478.09309490940643</v>
      </c>
      <c r="Z53" s="735">
        <f t="shared" si="12"/>
        <v>1276.5085634081152</v>
      </c>
      <c r="AA53" s="735">
        <f t="shared" si="13"/>
        <v>0</v>
      </c>
      <c r="AB53" s="735">
        <f t="shared" si="19"/>
        <v>717.1396423641097</v>
      </c>
      <c r="AC53" s="735">
        <f t="shared" si="19"/>
        <v>2342.6561650560916</v>
      </c>
      <c r="AD53" s="735">
        <f t="shared" si="19"/>
        <v>717.1396423641097</v>
      </c>
      <c r="AE53" s="736">
        <f t="shared" si="19"/>
        <v>2342.6561650560916</v>
      </c>
    </row>
    <row r="54" spans="1:31" s="158" customFormat="1" ht="21" customHeight="1" x14ac:dyDescent="0.25">
      <c r="A54" s="20"/>
      <c r="B54" s="5"/>
      <c r="C54" s="5"/>
      <c r="D54" s="834" t="s">
        <v>23</v>
      </c>
      <c r="E54" s="735">
        <f t="shared" si="18"/>
        <v>80</v>
      </c>
      <c r="F54" s="735">
        <f t="shared" si="0"/>
        <v>50</v>
      </c>
      <c r="G54" s="735">
        <f t="shared" si="1"/>
        <v>50</v>
      </c>
      <c r="H54" s="735">
        <f t="shared" si="2"/>
        <v>50</v>
      </c>
      <c r="I54" s="735">
        <f>($I$43*'19 General Wages'!I17)*(1+'21 Sales Taxes'!G16+'19 General Wages'!L17)*(1+$C$8) + $I$44*(1+'21 Sales Taxes'!H16)*(1+$C$9)</f>
        <v>1043.4190369436983</v>
      </c>
      <c r="J54" s="735">
        <f>$C$72*'19 General Wages'!V17</f>
        <v>428.05548585039952</v>
      </c>
      <c r="K54" s="735">
        <f>($K$43*'19 General Wages'!I17)*(1+'21 Sales Taxes'!G16+'19 General Wages'!L17)*(1+$C$8) + $K$44*(1+'21 Sales Taxes'!H16)*(1+$C$9)</f>
        <v>261.44636110391741</v>
      </c>
      <c r="L54" s="735">
        <f>($K$43*'19 General Wages'!I17)*(1+'21 Sales Taxes'!G16+'19 General Wages'!L17)*(1+$C$8) + $K$44*(1+'21 Sales Taxes'!H16)*(1+$C$9)</f>
        <v>261.44636110391741</v>
      </c>
      <c r="M54" s="735">
        <f>($M$43*'19 General Wages'!J17)*(1+'21 Sales Taxes'!G16+'19 General Wages'!L17)*(1+$C$8) + $M$44*(1+'21 Sales Taxes'!H16)*(1+$C$9)</f>
        <v>951.72030150317642</v>
      </c>
      <c r="N54" s="735">
        <f>($N$43*'19 General Wages'!I17)*(1+'21 Sales Taxes'!G16+'19 General Wages'!L17)*(1+$C$8) + $N$44*(1+'21 Sales Taxes'!H16)*(1+$C$9)</f>
        <v>261.44636110391741</v>
      </c>
      <c r="O54" s="735">
        <f>($I$43*'19 General Wages'!I17)*(1+'21 Sales Taxes'!G16+'19 General Wages'!L17)*(1+$C$8) + $I$44*(1+'21 Sales Taxes'!H16)*(1+$C$9)</f>
        <v>1043.4190369436983</v>
      </c>
      <c r="P54" s="735">
        <f>'13 Space Heating Costs'!E19</f>
        <v>794.87760728166916</v>
      </c>
      <c r="Q54" s="735">
        <f>O109</f>
        <v>0</v>
      </c>
      <c r="R54" s="735">
        <f t="shared" si="4"/>
        <v>683.25456512736991</v>
      </c>
      <c r="S54" s="735">
        <f t="shared" si="5"/>
        <v>1995.2792453558036</v>
      </c>
      <c r="T54" s="735">
        <f t="shared" si="6"/>
        <v>683.25456512736991</v>
      </c>
      <c r="U54" s="735">
        <f t="shared" si="7"/>
        <v>1995.2792453558036</v>
      </c>
      <c r="V54" s="735">
        <f t="shared" si="8"/>
        <v>0</v>
      </c>
      <c r="W54" s="735">
        <f t="shared" si="9"/>
        <v>587.72967324707622</v>
      </c>
      <c r="X54" s="735">
        <f t="shared" si="10"/>
        <v>1569.2382275696937</v>
      </c>
      <c r="Y54" s="735">
        <f t="shared" si="11"/>
        <v>587.72967324707622</v>
      </c>
      <c r="Z54" s="735">
        <f t="shared" si="12"/>
        <v>1569.2382275696937</v>
      </c>
      <c r="AA54" s="735">
        <f t="shared" si="13"/>
        <v>0</v>
      </c>
      <c r="AB54" s="735">
        <f t="shared" si="19"/>
        <v>881.59450987061439</v>
      </c>
      <c r="AC54" s="735">
        <f t="shared" si="19"/>
        <v>2879.8753989106735</v>
      </c>
      <c r="AD54" s="735">
        <f t="shared" si="19"/>
        <v>881.59450987061439</v>
      </c>
      <c r="AE54" s="736">
        <f t="shared" si="19"/>
        <v>2879.8753989106735</v>
      </c>
    </row>
    <row r="55" spans="1:31" s="158" customFormat="1" ht="21" customHeight="1" thickBot="1" x14ac:dyDescent="0.3">
      <c r="B55" s="5"/>
      <c r="C55" s="5"/>
      <c r="D55" s="835" t="s">
        <v>151</v>
      </c>
      <c r="E55" s="737">
        <f t="shared" si="18"/>
        <v>80</v>
      </c>
      <c r="F55" s="737">
        <f t="shared" si="0"/>
        <v>50</v>
      </c>
      <c r="G55" s="737">
        <f t="shared" si="1"/>
        <v>50</v>
      </c>
      <c r="H55" s="737">
        <f t="shared" si="2"/>
        <v>50</v>
      </c>
      <c r="I55" s="737">
        <f>($I$43*'19 General Wages'!I18)*(1+'21 Sales Taxes'!G17+'19 General Wages'!L18)*(1+$C$8) + $I$44*(1+'21 Sales Taxes'!H17)*(1+$C$9)</f>
        <v>1007.5195383644932</v>
      </c>
      <c r="J55" s="737">
        <f>$C$72*'19 General Wages'!V18</f>
        <v>375</v>
      </c>
      <c r="K55" s="737">
        <f>($K$43*'19 General Wages'!I18)*(1+'21 Sales Taxes'!G17+'19 General Wages'!L18)*(1+$C$8) + $K$44*(1+'21 Sales Taxes'!H17)*(1+$C$9)</f>
        <v>232.95497280135436</v>
      </c>
      <c r="L55" s="737">
        <f>($K$43*'19 General Wages'!I18)*(1+'21 Sales Taxes'!G17+'19 General Wages'!L18)*(1+$C$8) + $K$44*(1+'21 Sales Taxes'!H17)*(1+$C$9)</f>
        <v>232.95497280135436</v>
      </c>
      <c r="M55" s="737">
        <f>($M$43*'19 General Wages'!J18)*(1+'21 Sales Taxes'!G17+'19 General Wages'!L18)*(1+$C$8) + $M$44*(1+'21 Sales Taxes'!H17)*(1+$C$9)</f>
        <v>802.61007345286771</v>
      </c>
      <c r="N55" s="737">
        <f>($N$43*'19 General Wages'!I18)*(1+'21 Sales Taxes'!G17+'19 General Wages'!L18)*(1+$C$8) + $N$44*(1+'21 Sales Taxes'!H17)*(1+$C$9)</f>
        <v>232.95497280135436</v>
      </c>
      <c r="O55" s="737">
        <f>($I$43*'19 General Wages'!I18)*(1+'21 Sales Taxes'!G17+'19 General Wages'!L18)*(1+$C$8) + $I$44*(1+'21 Sales Taxes'!H17)*(1+$C$9)</f>
        <v>1007.5195383644932</v>
      </c>
      <c r="P55" s="737">
        <f>'13 Space Heating Costs'!E20</f>
        <v>659.25371175151349</v>
      </c>
      <c r="Q55" s="737">
        <f>O113</f>
        <v>1159.1894538026795</v>
      </c>
      <c r="R55" s="737">
        <f t="shared" si="4"/>
        <v>612.48908403745986</v>
      </c>
      <c r="S55" s="737">
        <f t="shared" si="5"/>
        <v>1836.7013148070705</v>
      </c>
      <c r="T55" s="737">
        <f t="shared" si="6"/>
        <v>612.48908403745986</v>
      </c>
      <c r="U55" s="737">
        <f t="shared" si="7"/>
        <v>1836.7013148070705</v>
      </c>
      <c r="V55" s="737">
        <f>M113</f>
        <v>966.20263408344874</v>
      </c>
      <c r="W55" s="737">
        <f t="shared" si="9"/>
        <v>500</v>
      </c>
      <c r="X55" s="737">
        <f t="shared" si="10"/>
        <v>1335</v>
      </c>
      <c r="Y55" s="737">
        <f t="shared" si="11"/>
        <v>500</v>
      </c>
      <c r="Z55" s="737">
        <f t="shared" si="12"/>
        <v>1335</v>
      </c>
      <c r="AA55" s="737">
        <f t="shared" si="13"/>
        <v>1770.3143829135768</v>
      </c>
      <c r="AB55" s="737">
        <f t="shared" si="19"/>
        <v>750</v>
      </c>
      <c r="AC55" s="737">
        <f t="shared" si="19"/>
        <v>2450</v>
      </c>
      <c r="AD55" s="737">
        <f t="shared" si="19"/>
        <v>750</v>
      </c>
      <c r="AE55" s="738">
        <f t="shared" si="19"/>
        <v>2450</v>
      </c>
    </row>
    <row r="56" spans="1:31" s="158" customFormat="1" ht="21" customHeight="1" x14ac:dyDescent="0.3">
      <c r="A56" s="90"/>
      <c r="B56" s="5"/>
      <c r="C56" s="5"/>
      <c r="D56" s="1184" t="s">
        <v>1156</v>
      </c>
      <c r="E56" s="1184"/>
      <c r="F56" s="1184"/>
      <c r="G56" s="1184"/>
      <c r="H56" s="1184"/>
      <c r="I56" s="618"/>
      <c r="J56" s="618"/>
      <c r="K56" s="618"/>
      <c r="L56" s="618"/>
      <c r="M56" s="618"/>
      <c r="N56" s="618"/>
      <c r="O56" s="627"/>
      <c r="P56" s="627"/>
      <c r="Q56" s="618"/>
      <c r="R56" s="618"/>
      <c r="S56" s="618"/>
      <c r="T56" s="618"/>
      <c r="U56" s="618"/>
      <c r="V56" s="618"/>
      <c r="W56" s="618"/>
      <c r="X56" s="618"/>
      <c r="Y56" s="618"/>
      <c r="Z56" s="618"/>
      <c r="AA56" s="618"/>
      <c r="AB56" s="618"/>
      <c r="AC56" s="618"/>
      <c r="AD56" s="618"/>
      <c r="AE56" s="618"/>
    </row>
    <row r="57" spans="1:31" ht="20.25" x14ac:dyDescent="0.3">
      <c r="D57" s="1186" t="s">
        <v>1454</v>
      </c>
      <c r="E57" s="1186"/>
      <c r="F57" s="1186"/>
      <c r="G57" s="1186"/>
      <c r="H57" s="948" t="s">
        <v>278</v>
      </c>
    </row>
    <row r="58" spans="1:31" s="158" customFormat="1" ht="21" customHeight="1" x14ac:dyDescent="0.3">
      <c r="A58" s="90"/>
      <c r="B58" s="5"/>
      <c r="C58" s="5"/>
      <c r="D58" s="1185" t="s">
        <v>1449</v>
      </c>
      <c r="E58" s="1185"/>
      <c r="F58" s="1185"/>
      <c r="G58" s="1185"/>
      <c r="H58" s="949" t="s">
        <v>1155</v>
      </c>
      <c r="I58" s="618"/>
      <c r="J58" s="618"/>
      <c r="K58" s="618"/>
      <c r="L58" s="618"/>
      <c r="M58" s="618"/>
      <c r="N58" s="618"/>
      <c r="O58" s="627"/>
      <c r="P58" s="627"/>
      <c r="Q58" s="618"/>
      <c r="R58" s="618"/>
      <c r="S58" s="618"/>
      <c r="T58" s="618"/>
      <c r="U58" s="618"/>
      <c r="V58" s="618"/>
      <c r="W58" s="618"/>
      <c r="X58" s="618"/>
      <c r="Y58" s="618"/>
      <c r="Z58" s="618"/>
      <c r="AA58" s="618"/>
      <c r="AB58" s="618"/>
      <c r="AC58" s="618"/>
      <c r="AD58" s="618"/>
      <c r="AE58" s="618"/>
    </row>
    <row r="59" spans="1:31" ht="21" customHeight="1" x14ac:dyDescent="0.25">
      <c r="A59" s="1260" t="s">
        <v>1453</v>
      </c>
      <c r="C59" s="24"/>
      <c r="AA59" s="41"/>
      <c r="AB59" s="41"/>
    </row>
    <row r="60" spans="1:31" ht="20.25" customHeight="1" x14ac:dyDescent="0.3">
      <c r="A60" s="1260"/>
      <c r="D60" s="1183" t="s">
        <v>1157</v>
      </c>
      <c r="E60" s="723" t="s">
        <v>1446</v>
      </c>
      <c r="O60" s="87"/>
      <c r="P60" s="334"/>
      <c r="AA60" s="41"/>
      <c r="AB60" s="41"/>
    </row>
    <row r="61" spans="1:31" ht="21" customHeight="1" x14ac:dyDescent="0.3">
      <c r="A61" s="1260"/>
      <c r="D61" s="1183"/>
      <c r="E61" s="723" t="s">
        <v>1447</v>
      </c>
      <c r="O61" s="98"/>
      <c r="P61" s="20"/>
      <c r="AA61" s="505"/>
      <c r="AB61" s="505"/>
    </row>
    <row r="62" spans="1:31" ht="21" customHeight="1" x14ac:dyDescent="0.3">
      <c r="A62" s="1255" t="s">
        <v>346</v>
      </c>
      <c r="B62" s="1255"/>
      <c r="C62" s="1255"/>
      <c r="D62" s="1255"/>
      <c r="E62" s="1255"/>
      <c r="F62" s="1255"/>
      <c r="G62" s="1255"/>
      <c r="H62" s="1255"/>
      <c r="I62" s="1255"/>
      <c r="J62" s="1255"/>
      <c r="K62" s="346"/>
      <c r="O62" s="87"/>
      <c r="P62" s="347"/>
      <c r="Q62" s="20"/>
    </row>
    <row r="63" spans="1:31" ht="21" customHeight="1" x14ac:dyDescent="0.3">
      <c r="A63" s="526" t="s">
        <v>298</v>
      </c>
      <c r="B63" s="526" t="s">
        <v>127</v>
      </c>
      <c r="C63" s="526" t="s">
        <v>239</v>
      </c>
      <c r="D63" s="526" t="s">
        <v>299</v>
      </c>
      <c r="E63" s="526" t="s">
        <v>300</v>
      </c>
      <c r="F63" s="24"/>
      <c r="G63" s="63"/>
      <c r="H63" s="63"/>
      <c r="K63" s="160"/>
      <c r="O63" s="87"/>
      <c r="P63" s="348"/>
      <c r="Q63" s="318"/>
      <c r="T63" s="270"/>
      <c r="U63" s="270"/>
      <c r="V63" s="270"/>
      <c r="W63" s="270"/>
    </row>
    <row r="64" spans="1:31" ht="21" customHeight="1" x14ac:dyDescent="0.25">
      <c r="A64" s="529"/>
      <c r="B64" s="161" t="s">
        <v>459</v>
      </c>
      <c r="C64" s="530"/>
      <c r="D64" s="307">
        <f>'14 Space Heating Detailed Costs'!E33</f>
        <v>62.4</v>
      </c>
      <c r="E64" s="308">
        <f>'14 Space Heating Detailed Costs'!F33</f>
        <v>10.897125943043891</v>
      </c>
      <c r="F64" s="163"/>
      <c r="G64" s="161"/>
      <c r="P64" s="302"/>
      <c r="Q64" s="316"/>
    </row>
    <row r="65" spans="1:19" ht="21" customHeight="1" x14ac:dyDescent="0.25">
      <c r="A65" s="529"/>
      <c r="B65" s="42" t="s">
        <v>1563</v>
      </c>
      <c r="C65" s="355"/>
      <c r="D65" s="355"/>
      <c r="E65" s="531"/>
      <c r="F65" s="164"/>
      <c r="G65" s="161"/>
      <c r="Q65" s="63"/>
    </row>
    <row r="66" spans="1:19" ht="21" customHeight="1" x14ac:dyDescent="0.25">
      <c r="A66" s="1255" t="s">
        <v>347</v>
      </c>
      <c r="B66" s="1255"/>
      <c r="C66" s="1255"/>
      <c r="D66" s="1255"/>
      <c r="E66" s="1255"/>
      <c r="F66" s="1255"/>
      <c r="G66" s="1255"/>
      <c r="H66" s="1255"/>
      <c r="I66" s="1255"/>
      <c r="J66" s="1255"/>
      <c r="K66" s="346"/>
      <c r="L66" s="234"/>
      <c r="M66" s="232"/>
      <c r="N66" s="232"/>
      <c r="Q66" s="21"/>
    </row>
    <row r="67" spans="1:19" ht="21" customHeight="1" x14ac:dyDescent="0.25">
      <c r="A67" s="526" t="s">
        <v>298</v>
      </c>
      <c r="B67" s="526" t="s">
        <v>127</v>
      </c>
      <c r="C67" s="526" t="s">
        <v>239</v>
      </c>
      <c r="D67" s="526" t="s">
        <v>299</v>
      </c>
      <c r="E67" s="526" t="s">
        <v>300</v>
      </c>
      <c r="F67" s="24"/>
      <c r="G67" s="63"/>
      <c r="M67" s="285"/>
      <c r="N67" s="285"/>
      <c r="Q67" s="21"/>
    </row>
    <row r="68" spans="1:19" ht="21" customHeight="1" x14ac:dyDescent="0.25">
      <c r="A68" s="52"/>
      <c r="B68" s="169" t="s">
        <v>1295</v>
      </c>
      <c r="C68" s="550"/>
      <c r="D68" s="307">
        <f>'14 Space Heating Detailed Costs'!E42</f>
        <v>125.4</v>
      </c>
      <c r="E68" s="308">
        <f>'14 Space Heating Detailed Costs'!F42</f>
        <v>11.897125943043891</v>
      </c>
      <c r="F68" s="914"/>
      <c r="G68" s="284"/>
      <c r="M68" s="285"/>
      <c r="N68" s="285"/>
      <c r="Q68" s="21"/>
    </row>
    <row r="69" spans="1:19" ht="21" customHeight="1" x14ac:dyDescent="0.25">
      <c r="A69" s="52"/>
      <c r="B69" s="42" t="s">
        <v>1562</v>
      </c>
      <c r="C69" s="355"/>
      <c r="D69" s="52"/>
      <c r="E69" s="532"/>
      <c r="F69" s="165"/>
      <c r="G69" s="161"/>
      <c r="M69" s="285"/>
      <c r="N69" s="285"/>
      <c r="Q69" s="21"/>
    </row>
    <row r="70" spans="1:19" ht="21" customHeight="1" x14ac:dyDescent="0.25">
      <c r="A70" s="1255" t="s">
        <v>1376</v>
      </c>
      <c r="B70" s="1255"/>
      <c r="C70" s="1255"/>
      <c r="D70" s="1255"/>
      <c r="E70" s="1255"/>
      <c r="F70" s="1255"/>
      <c r="G70" s="1255"/>
      <c r="H70" s="1255"/>
      <c r="I70" s="1255"/>
      <c r="J70" s="1255"/>
      <c r="K70" s="346"/>
      <c r="M70" s="285"/>
      <c r="N70" s="285"/>
    </row>
    <row r="71" spans="1:19" ht="21" customHeight="1" x14ac:dyDescent="0.25">
      <c r="A71" s="526" t="s">
        <v>298</v>
      </c>
      <c r="B71" s="526" t="s">
        <v>127</v>
      </c>
      <c r="C71" s="526" t="s">
        <v>239</v>
      </c>
      <c r="D71" s="526" t="s">
        <v>299</v>
      </c>
      <c r="E71" s="526" t="s">
        <v>300</v>
      </c>
      <c r="F71" s="526"/>
      <c r="I71" s="533" t="s">
        <v>236</v>
      </c>
      <c r="M71" s="285"/>
      <c r="N71" s="285"/>
    </row>
    <row r="72" spans="1:19" ht="21" customHeight="1" x14ac:dyDescent="0.25">
      <c r="A72" s="534"/>
      <c r="B72" s="532" t="s">
        <v>978</v>
      </c>
      <c r="C72" s="889">
        <f>(250+500)/2</f>
        <v>375</v>
      </c>
      <c r="D72" s="588"/>
      <c r="E72" s="588"/>
      <c r="F72" s="6"/>
      <c r="G72" s="8"/>
      <c r="I72" s="30" t="s">
        <v>637</v>
      </c>
      <c r="M72" s="41"/>
    </row>
    <row r="73" spans="1:19" ht="21" customHeight="1" x14ac:dyDescent="0.25">
      <c r="A73" s="8"/>
      <c r="B73" s="8"/>
      <c r="C73" s="355"/>
      <c r="D73" s="355"/>
      <c r="E73" s="355"/>
      <c r="F73" s="52"/>
      <c r="G73" s="8"/>
    </row>
    <row r="74" spans="1:19" ht="21" customHeight="1" x14ac:dyDescent="0.25">
      <c r="A74" s="1255" t="s">
        <v>1377</v>
      </c>
      <c r="B74" s="1255"/>
      <c r="C74" s="1255"/>
      <c r="D74" s="1255"/>
      <c r="E74" s="1255"/>
      <c r="F74" s="1255"/>
      <c r="G74" s="1255"/>
      <c r="H74" s="1255"/>
      <c r="I74" s="1255"/>
      <c r="J74" s="1255"/>
      <c r="K74" s="305"/>
      <c r="N74" s="317"/>
      <c r="O74" s="317"/>
      <c r="P74" s="317"/>
      <c r="Q74" s="317"/>
      <c r="R74" s="317"/>
      <c r="S74" s="317"/>
    </row>
    <row r="75" spans="1:19" ht="21" customHeight="1" x14ac:dyDescent="0.25">
      <c r="A75" s="526" t="s">
        <v>298</v>
      </c>
      <c r="B75" s="526" t="s">
        <v>127</v>
      </c>
      <c r="C75" s="526" t="s">
        <v>239</v>
      </c>
      <c r="D75" s="526" t="s">
        <v>299</v>
      </c>
      <c r="E75" s="526" t="s">
        <v>300</v>
      </c>
      <c r="F75" s="526"/>
      <c r="G75" s="8"/>
      <c r="H75" s="8"/>
      <c r="I75" s="533" t="s">
        <v>236</v>
      </c>
      <c r="M75" s="280"/>
      <c r="N75" s="24"/>
      <c r="O75" s="4"/>
      <c r="P75" s="4"/>
      <c r="Q75" s="128"/>
      <c r="R75" s="4"/>
      <c r="S75" s="4"/>
    </row>
    <row r="76" spans="1:19" ht="21" customHeight="1" x14ac:dyDescent="0.25">
      <c r="A76" s="355" t="s">
        <v>884</v>
      </c>
      <c r="B76" s="8"/>
      <c r="C76" s="8"/>
      <c r="D76" s="158">
        <v>0</v>
      </c>
      <c r="E76" s="615">
        <f>C78/C79</f>
        <v>4.3989153230658946</v>
      </c>
      <c r="F76" s="8"/>
      <c r="G76" s="8"/>
      <c r="H76" s="8"/>
      <c r="I76" s="8"/>
      <c r="O76" s="287"/>
      <c r="P76" s="287"/>
      <c r="Q76" s="19"/>
      <c r="R76" s="287"/>
      <c r="S76" s="287"/>
    </row>
    <row r="77" spans="1:19" ht="30.75" customHeight="1" x14ac:dyDescent="0.25">
      <c r="A77" s="208" t="s">
        <v>885</v>
      </c>
      <c r="B77" s="890" t="s">
        <v>1339</v>
      </c>
      <c r="C77" s="891" t="s">
        <v>1338</v>
      </c>
      <c r="D77" s="8"/>
      <c r="E77" s="536"/>
      <c r="F77" s="8"/>
      <c r="G77" s="537"/>
      <c r="H77" s="8"/>
      <c r="I77" s="906" t="s">
        <v>1058</v>
      </c>
      <c r="O77" s="287"/>
      <c r="P77" s="287"/>
      <c r="Q77" s="19"/>
      <c r="R77" s="287"/>
      <c r="S77" s="287"/>
    </row>
    <row r="78" spans="1:19" ht="21" customHeight="1" x14ac:dyDescent="0.25">
      <c r="A78" s="536" t="s">
        <v>461</v>
      </c>
      <c r="B78" s="319">
        <v>250</v>
      </c>
      <c r="C78" s="892">
        <f>(B78/(1+'19 General Wages'!K19))/(1+'19 General Wages'!K19)</f>
        <v>232.95497280135442</v>
      </c>
      <c r="D78" s="8"/>
      <c r="E78" s="536"/>
      <c r="F78" s="536"/>
      <c r="G78" s="8"/>
      <c r="H78" s="8"/>
      <c r="I78" s="8"/>
      <c r="O78" s="287"/>
      <c r="P78" s="287"/>
      <c r="Q78" s="287"/>
      <c r="R78" s="287"/>
      <c r="S78" s="287"/>
    </row>
    <row r="79" spans="1:19" ht="21" customHeight="1" x14ac:dyDescent="0.25">
      <c r="A79" s="536" t="s">
        <v>463</v>
      </c>
      <c r="B79" s="536"/>
      <c r="C79" s="610">
        <f>'19 General Wages'!I18*(1+'19 General Wages'!L18+'21 Sales Taxes'!G17)*(1+'14 Space Heating Detailed Costs'!I5)</f>
        <v>52.95736691721374</v>
      </c>
      <c r="D79" s="536"/>
      <c r="E79" s="536"/>
      <c r="F79" s="536"/>
      <c r="G79" s="8"/>
      <c r="H79" s="8"/>
      <c r="I79" s="8"/>
      <c r="O79" s="287"/>
      <c r="P79" s="287"/>
      <c r="Q79" s="19"/>
      <c r="R79" s="287"/>
      <c r="S79" s="287"/>
    </row>
    <row r="80" spans="1:19" ht="21" customHeight="1" x14ac:dyDescent="0.25">
      <c r="A80" s="355" t="s">
        <v>506</v>
      </c>
      <c r="B80" s="539"/>
      <c r="C80" s="535"/>
      <c r="D80" s="535"/>
      <c r="E80" s="535"/>
      <c r="F80" s="8"/>
      <c r="G80" s="8"/>
      <c r="H80" s="8"/>
      <c r="I80" s="8"/>
      <c r="P80" s="19"/>
    </row>
    <row r="81" spans="1:16" ht="21" customHeight="1" x14ac:dyDescent="0.25">
      <c r="A81" s="553"/>
      <c r="B81" s="8"/>
      <c r="C81" s="540"/>
      <c r="D81" s="535"/>
      <c r="E81" s="535"/>
      <c r="F81" s="8"/>
      <c r="G81" s="8"/>
      <c r="H81" s="8"/>
      <c r="I81" s="8"/>
      <c r="P81" s="19"/>
    </row>
    <row r="82" spans="1:16" ht="21" customHeight="1" x14ac:dyDescent="0.25">
      <c r="A82" s="541"/>
      <c r="B82" s="8"/>
      <c r="C82" s="535"/>
      <c r="D82" s="535"/>
      <c r="E82" s="535"/>
      <c r="F82" s="8"/>
      <c r="G82" s="8"/>
      <c r="H82" s="8"/>
      <c r="I82" s="8"/>
      <c r="P82" s="19"/>
    </row>
    <row r="83" spans="1:16" ht="21" customHeight="1" x14ac:dyDescent="0.25">
      <c r="A83" s="62"/>
      <c r="B83" s="42"/>
      <c r="C83" s="158"/>
      <c r="D83" s="158"/>
      <c r="E83" s="158"/>
      <c r="P83" s="19"/>
    </row>
    <row r="84" spans="1:16" ht="21" customHeight="1" x14ac:dyDescent="0.25">
      <c r="A84" s="1255" t="s">
        <v>1378</v>
      </c>
      <c r="B84" s="1255"/>
      <c r="C84" s="1255"/>
      <c r="D84" s="1255"/>
      <c r="E84" s="1255"/>
      <c r="F84" s="1255"/>
      <c r="G84" s="1255"/>
      <c r="H84" s="1255"/>
      <c r="I84" s="1255"/>
      <c r="J84" s="1255"/>
      <c r="K84" s="305"/>
      <c r="P84" s="19"/>
    </row>
    <row r="85" spans="1:16" ht="21" customHeight="1" x14ac:dyDescent="0.25">
      <c r="A85" s="542" t="s">
        <v>298</v>
      </c>
      <c r="B85" s="526"/>
      <c r="C85" s="526" t="s">
        <v>239</v>
      </c>
      <c r="D85" s="526" t="s">
        <v>299</v>
      </c>
      <c r="E85" s="526" t="s">
        <v>300</v>
      </c>
      <c r="F85" s="526"/>
      <c r="G85" s="536"/>
      <c r="H85" s="536"/>
      <c r="I85" s="533" t="s">
        <v>236</v>
      </c>
      <c r="J85" s="536"/>
      <c r="K85" s="231"/>
      <c r="P85" s="19"/>
    </row>
    <row r="86" spans="1:16" ht="21" customHeight="1" x14ac:dyDescent="0.25">
      <c r="A86" s="355" t="s">
        <v>884</v>
      </c>
      <c r="B86" s="8"/>
      <c r="C86" s="8"/>
      <c r="D86" s="158">
        <v>0</v>
      </c>
      <c r="E86" s="615">
        <f>C88/C89</f>
        <v>4.3989153230658946</v>
      </c>
      <c r="F86" s="8"/>
      <c r="G86" s="543"/>
      <c r="H86" s="536"/>
      <c r="I86" s="536"/>
      <c r="J86" s="536"/>
      <c r="K86" s="231"/>
      <c r="P86" s="19"/>
    </row>
    <row r="87" spans="1:16" ht="29.25" customHeight="1" x14ac:dyDescent="0.25">
      <c r="A87" s="208" t="s">
        <v>885</v>
      </c>
      <c r="B87" s="890" t="s">
        <v>1339</v>
      </c>
      <c r="C87" s="891" t="s">
        <v>1338</v>
      </c>
      <c r="D87" s="8"/>
      <c r="E87" s="536"/>
      <c r="F87" s="8"/>
      <c r="G87" s="543"/>
      <c r="H87" s="536"/>
      <c r="I87" s="906" t="s">
        <v>1058</v>
      </c>
      <c r="J87" s="536"/>
      <c r="K87" s="231"/>
      <c r="P87" s="19"/>
    </row>
    <row r="88" spans="1:16" ht="21" customHeight="1" x14ac:dyDescent="0.25">
      <c r="A88" s="536" t="s">
        <v>461</v>
      </c>
      <c r="B88" s="319">
        <v>250</v>
      </c>
      <c r="C88" s="892">
        <f>(B88/(1+'19 General Wages'!K19))/(1+'19 General Wages'!K19)</f>
        <v>232.95497280135442</v>
      </c>
      <c r="D88" s="8"/>
      <c r="E88" s="536"/>
      <c r="F88" s="536"/>
      <c r="G88" s="8"/>
      <c r="H88" s="536"/>
      <c r="I88" s="536"/>
      <c r="J88" s="536"/>
      <c r="K88" s="231"/>
      <c r="P88" s="19"/>
    </row>
    <row r="89" spans="1:16" ht="21" customHeight="1" x14ac:dyDescent="0.25">
      <c r="A89" s="536" t="s">
        <v>1455</v>
      </c>
      <c r="B89" s="536"/>
      <c r="C89" s="610">
        <f>'19 General Wages'!I18*(1+'19 General Wages'!L18+'21 Sales Taxes'!G17)*(1+'14 Space Heating Detailed Costs'!I5)</f>
        <v>52.95736691721374</v>
      </c>
      <c r="D89" s="536"/>
      <c r="E89" s="536"/>
      <c r="F89" s="536"/>
      <c r="G89" s="8"/>
      <c r="H89" s="536"/>
      <c r="I89" s="536"/>
      <c r="J89" s="536"/>
      <c r="K89" s="231"/>
      <c r="P89" s="19"/>
    </row>
    <row r="90" spans="1:16" ht="21" customHeight="1" x14ac:dyDescent="0.25">
      <c r="A90" s="536"/>
      <c r="B90" s="536"/>
      <c r="C90" s="536"/>
      <c r="D90" s="536"/>
      <c r="E90" s="536"/>
      <c r="F90" s="536"/>
      <c r="G90" s="8"/>
      <c r="H90" s="536"/>
      <c r="I90" s="536"/>
      <c r="J90" s="536"/>
      <c r="K90" s="231"/>
      <c r="P90" s="19"/>
    </row>
    <row r="91" spans="1:16" ht="21" customHeight="1" x14ac:dyDescent="0.25">
      <c r="A91" s="355" t="s">
        <v>1456</v>
      </c>
      <c r="B91" s="544"/>
      <c r="C91" s="544"/>
      <c r="D91" s="545"/>
      <c r="E91" s="544"/>
      <c r="F91" s="544"/>
      <c r="G91" s="544"/>
      <c r="H91" s="545"/>
      <c r="I91" s="545"/>
      <c r="J91" s="545"/>
      <c r="K91" s="234"/>
    </row>
    <row r="92" spans="1:16" ht="21" customHeight="1" x14ac:dyDescent="0.25">
      <c r="A92" s="235"/>
      <c r="B92" s="238"/>
      <c r="C92" s="238"/>
      <c r="D92" s="234"/>
      <c r="E92" s="238"/>
      <c r="F92" s="238"/>
      <c r="G92" s="238"/>
      <c r="H92" s="234"/>
      <c r="I92" s="234"/>
      <c r="J92" s="234"/>
      <c r="K92" s="234"/>
    </row>
    <row r="93" spans="1:16" ht="21" customHeight="1" x14ac:dyDescent="0.25">
      <c r="A93" s="1255" t="s">
        <v>1379</v>
      </c>
      <c r="B93" s="1255"/>
      <c r="C93" s="1255"/>
      <c r="D93" s="1255"/>
      <c r="E93" s="1255"/>
      <c r="F93" s="1255"/>
      <c r="G93" s="1255"/>
      <c r="H93" s="1255"/>
      <c r="I93" s="1255"/>
      <c r="J93" s="1255"/>
      <c r="K93" s="305"/>
    </row>
    <row r="94" spans="1:16" ht="21" customHeight="1" x14ac:dyDescent="0.25">
      <c r="A94" s="526" t="s">
        <v>298</v>
      </c>
      <c r="B94" s="526" t="s">
        <v>127</v>
      </c>
      <c r="C94" s="526" t="s">
        <v>239</v>
      </c>
      <c r="D94" s="526" t="s">
        <v>299</v>
      </c>
      <c r="E94" s="526" t="s">
        <v>300</v>
      </c>
      <c r="F94" s="526"/>
      <c r="G94" s="8"/>
      <c r="H94" s="8"/>
      <c r="I94" s="533" t="s">
        <v>236</v>
      </c>
    </row>
    <row r="95" spans="1:16" ht="35.25" customHeight="1" x14ac:dyDescent="0.25">
      <c r="A95" s="208" t="s">
        <v>1238</v>
      </c>
      <c r="B95" s="52"/>
      <c r="C95" s="546"/>
      <c r="D95" s="547"/>
      <c r="E95" s="548"/>
      <c r="F95" s="549"/>
      <c r="G95" s="550"/>
      <c r="H95" s="8"/>
      <c r="I95" s="8"/>
    </row>
    <row r="96" spans="1:16" ht="21" customHeight="1" x14ac:dyDescent="0.25">
      <c r="A96" s="355" t="s">
        <v>884</v>
      </c>
      <c r="B96" s="8"/>
      <c r="C96" s="8"/>
      <c r="D96" s="159">
        <v>0</v>
      </c>
      <c r="E96" s="628">
        <f>C98/C99</f>
        <v>4.3989153230658946</v>
      </c>
      <c r="F96" s="8"/>
      <c r="G96" s="550"/>
      <c r="H96" s="8"/>
      <c r="I96" s="8"/>
    </row>
    <row r="97" spans="1:18" ht="33.75" customHeight="1" x14ac:dyDescent="0.25">
      <c r="A97" s="208" t="s">
        <v>885</v>
      </c>
      <c r="B97" s="890" t="s">
        <v>1339</v>
      </c>
      <c r="C97" s="891" t="s">
        <v>1338</v>
      </c>
      <c r="D97" s="8"/>
      <c r="E97" s="536"/>
      <c r="F97" s="8"/>
      <c r="G97" s="550"/>
      <c r="H97" s="8"/>
      <c r="I97" s="906" t="s">
        <v>1058</v>
      </c>
    </row>
    <row r="98" spans="1:18" ht="21" customHeight="1" x14ac:dyDescent="0.25">
      <c r="A98" s="536" t="s">
        <v>461</v>
      </c>
      <c r="B98" s="319">
        <v>250</v>
      </c>
      <c r="C98" s="892">
        <f>(B98/(1+'19 General Wages'!$K$19))/(1+'19 General Wages'!$K$19)</f>
        <v>232.95497280135442</v>
      </c>
      <c r="D98" s="8"/>
      <c r="E98" s="536"/>
      <c r="F98" s="536"/>
      <c r="G98" s="550"/>
      <c r="H98" s="8"/>
      <c r="I98" s="8"/>
    </row>
    <row r="99" spans="1:18" ht="21" customHeight="1" x14ac:dyDescent="0.25">
      <c r="A99" s="536" t="s">
        <v>1455</v>
      </c>
      <c r="B99" s="536"/>
      <c r="C99" s="610">
        <f>'19 General Wages'!I18*(1+'19 General Wages'!L18+'21 Sales Taxes'!G17)*(1+'14 Space Heating Detailed Costs'!I5)</f>
        <v>52.95736691721374</v>
      </c>
      <c r="D99" s="536"/>
      <c r="E99" s="536"/>
      <c r="F99" s="536"/>
      <c r="G99" s="550"/>
      <c r="H99" s="8"/>
      <c r="I99" s="8"/>
    </row>
    <row r="100" spans="1:18" ht="21" customHeight="1" thickBot="1" x14ac:dyDescent="0.3">
      <c r="A100" s="536"/>
      <c r="B100" s="552"/>
      <c r="C100" s="552"/>
      <c r="D100" s="536"/>
      <c r="E100" s="536"/>
      <c r="F100" s="536"/>
      <c r="G100" s="550"/>
      <c r="H100" s="8"/>
      <c r="I100" s="8"/>
    </row>
    <row r="101" spans="1:18" ht="21" customHeight="1" x14ac:dyDescent="0.3">
      <c r="A101" s="355" t="s">
        <v>1457</v>
      </c>
      <c r="B101" s="544"/>
      <c r="C101" s="544"/>
      <c r="D101" s="545"/>
      <c r="E101" s="544"/>
      <c r="F101" s="544"/>
      <c r="G101" s="8"/>
      <c r="H101" s="8"/>
      <c r="I101" s="8"/>
      <c r="L101" s="1240" t="s">
        <v>1358</v>
      </c>
      <c r="M101" s="1241"/>
      <c r="N101" s="1241"/>
      <c r="O101" s="1242"/>
      <c r="P101" s="334"/>
      <c r="Q101" s="334"/>
      <c r="R101" s="334"/>
    </row>
    <row r="102" spans="1:18" ht="21" customHeight="1" x14ac:dyDescent="0.25">
      <c r="A102" s="6"/>
      <c r="B102" s="52"/>
      <c r="C102" s="52"/>
      <c r="D102" s="530"/>
      <c r="E102" s="52"/>
      <c r="F102" s="52"/>
      <c r="G102" s="543"/>
      <c r="H102" s="8"/>
      <c r="I102" s="8"/>
      <c r="L102" s="1243" t="s">
        <v>818</v>
      </c>
      <c r="M102" s="1244"/>
      <c r="N102" s="1244"/>
      <c r="O102" s="1245"/>
      <c r="P102" s="63"/>
      <c r="Q102" s="63"/>
      <c r="R102" s="63"/>
    </row>
    <row r="103" spans="1:18" ht="21" customHeight="1" x14ac:dyDescent="0.25">
      <c r="A103" s="8"/>
      <c r="B103" s="8"/>
      <c r="C103" s="8"/>
      <c r="D103" s="8"/>
      <c r="E103" s="8"/>
      <c r="F103" s="8"/>
      <c r="G103" s="8"/>
      <c r="H103" s="8"/>
      <c r="I103" s="8"/>
      <c r="L103" s="367"/>
      <c r="M103" s="232" t="s">
        <v>830</v>
      </c>
      <c r="N103" s="232" t="s">
        <v>831</v>
      </c>
      <c r="O103" s="507" t="s">
        <v>239</v>
      </c>
      <c r="P103" s="232"/>
      <c r="Q103" s="232"/>
      <c r="R103" s="232"/>
    </row>
    <row r="104" spans="1:18" ht="21" customHeight="1" x14ac:dyDescent="0.25">
      <c r="A104" s="1255" t="s">
        <v>1380</v>
      </c>
      <c r="B104" s="1255"/>
      <c r="C104" s="1255"/>
      <c r="D104" s="1255"/>
      <c r="E104" s="1255"/>
      <c r="F104" s="1255"/>
      <c r="G104" s="1255"/>
      <c r="H104" s="1255"/>
      <c r="I104" s="1255"/>
      <c r="J104" s="1255"/>
      <c r="K104" s="305"/>
      <c r="L104" s="289" t="s">
        <v>32</v>
      </c>
      <c r="M104" s="616">
        <f>($E$107*'19 General Wages'!K9)*(1+'21 Sales Taxes'!G8+'19 General Wages'!L9)*(1+$C$9) + $F$107*(1+'21 Sales Taxes'!H8)*(1+$C$11)</f>
        <v>986.16035114064414</v>
      </c>
      <c r="N104" s="616">
        <f>($E$106*'19 General Wages'!K9)*(1+'21 Sales Taxes'!G8+'19 General Wages'!L9)*(1+$C$9) + $F$106*(1+'21 Sales Taxes'!H8)*(1+$C$11)</f>
        <v>1785.8001047594748</v>
      </c>
      <c r="O104" s="813">
        <f>N104*'23 Venting Notes'!D10+(1-'23 Venting Notes'!D10)*'16 Water Heating Costs'!M104</f>
        <v>1178.0738920091635</v>
      </c>
    </row>
    <row r="105" spans="1:18" ht="21" customHeight="1" x14ac:dyDescent="0.25">
      <c r="A105" s="526" t="s">
        <v>298</v>
      </c>
      <c r="B105" s="526" t="s">
        <v>127</v>
      </c>
      <c r="C105" s="526" t="s">
        <v>239</v>
      </c>
      <c r="D105" s="8"/>
      <c r="E105" s="526" t="s">
        <v>300</v>
      </c>
      <c r="F105" s="526" t="s">
        <v>299</v>
      </c>
      <c r="G105" s="8"/>
      <c r="H105" s="8"/>
      <c r="I105" s="533" t="s">
        <v>236</v>
      </c>
      <c r="K105" s="251"/>
      <c r="L105" s="289" t="s">
        <v>60</v>
      </c>
      <c r="M105" s="616">
        <f>($E$107*'19 General Wages'!K10)*(1+'21 Sales Taxes'!G9+'19 General Wages'!L10)*(1+$C$9) + $F$107*(1+'21 Sales Taxes'!H9)*(1+$C$11)</f>
        <v>970.3683177455523</v>
      </c>
      <c r="N105" s="616">
        <f>($E$106*'19 General Wages'!K10)*(1+'21 Sales Taxes'!G9+'19 General Wages'!L10)*(1+$C$9) + $F$106*(1+'21 Sales Taxes'!H9)*(1+$C$11)</f>
        <v>1763.2923566194331</v>
      </c>
      <c r="O105" s="813">
        <f>N105*'23 Venting Notes'!D11+(1-'23 Venting Notes'!D11)*'16 Water Heating Costs'!M105</f>
        <v>1160.6700870752838</v>
      </c>
    </row>
    <row r="106" spans="1:18" ht="34.9" customHeight="1" x14ac:dyDescent="0.25">
      <c r="A106" s="2" t="s">
        <v>1439</v>
      </c>
      <c r="B106" s="159" t="s">
        <v>1296</v>
      </c>
      <c r="C106" s="616">
        <f>AVERAGE(500,1000)</f>
        <v>750</v>
      </c>
      <c r="D106" s="538" t="s">
        <v>446</v>
      </c>
      <c r="E106" s="612">
        <f>C110+1</f>
        <v>5.5</v>
      </c>
      <c r="F106" s="616">
        <f>(C106+C107)-E106*E110</f>
        <v>1397.2092533444682</v>
      </c>
      <c r="G106" s="8"/>
      <c r="H106" s="8"/>
      <c r="I106" s="530" t="s">
        <v>464</v>
      </c>
      <c r="L106" s="289" t="s">
        <v>41</v>
      </c>
      <c r="M106" s="814">
        <v>0</v>
      </c>
      <c r="N106" s="814">
        <v>0</v>
      </c>
      <c r="O106" s="815">
        <v>0</v>
      </c>
    </row>
    <row r="107" spans="1:18" ht="21" customHeight="1" x14ac:dyDescent="0.25">
      <c r="A107" s="355" t="s">
        <v>1459</v>
      </c>
      <c r="B107" s="159" t="s">
        <v>465</v>
      </c>
      <c r="C107" s="616">
        <f>AVERAGE(300,1500)</f>
        <v>900</v>
      </c>
      <c r="D107" s="536" t="s">
        <v>445</v>
      </c>
      <c r="E107" s="612">
        <f>C110</f>
        <v>4.5</v>
      </c>
      <c r="F107" s="616">
        <f>C107-E107*E110</f>
        <v>693.17120728183761</v>
      </c>
      <c r="G107" s="8"/>
      <c r="H107" s="8"/>
      <c r="I107" s="530" t="s">
        <v>466</v>
      </c>
      <c r="L107" s="289" t="s">
        <v>44</v>
      </c>
      <c r="M107" s="814">
        <v>0</v>
      </c>
      <c r="N107" s="814">
        <v>0</v>
      </c>
      <c r="O107" s="815">
        <v>0</v>
      </c>
    </row>
    <row r="108" spans="1:18" ht="21" customHeight="1" x14ac:dyDescent="0.25">
      <c r="A108" s="535" t="s">
        <v>1458</v>
      </c>
      <c r="B108" s="159" t="s">
        <v>1297</v>
      </c>
      <c r="C108" s="616">
        <f>AVERAGE(900,2800)</f>
        <v>1850</v>
      </c>
      <c r="D108" s="355"/>
      <c r="E108" s="355"/>
      <c r="F108" s="535"/>
      <c r="G108" s="8"/>
      <c r="H108" s="8"/>
      <c r="I108" s="52"/>
      <c r="L108" s="289" t="s">
        <v>34</v>
      </c>
      <c r="M108" s="814">
        <v>0</v>
      </c>
      <c r="N108" s="814">
        <v>0</v>
      </c>
      <c r="O108" s="815">
        <v>0</v>
      </c>
    </row>
    <row r="109" spans="1:18" ht="21" customHeight="1" x14ac:dyDescent="0.25">
      <c r="A109" s="355" t="s">
        <v>886</v>
      </c>
      <c r="B109" s="159" t="s">
        <v>1341</v>
      </c>
      <c r="C109" s="616">
        <f>AVERAGE(4200,6900)</f>
        <v>5550</v>
      </c>
      <c r="D109" s="531"/>
      <c r="E109" s="355" t="s">
        <v>1340</v>
      </c>
      <c r="F109" s="535"/>
      <c r="G109" s="8"/>
      <c r="H109" s="8"/>
      <c r="I109" s="52"/>
      <c r="L109" s="289" t="s">
        <v>20</v>
      </c>
      <c r="M109" s="814">
        <v>0</v>
      </c>
      <c r="N109" s="814">
        <v>0</v>
      </c>
      <c r="O109" s="815">
        <v>0</v>
      </c>
    </row>
    <row r="110" spans="1:18" ht="54" customHeight="1" x14ac:dyDescent="0.25">
      <c r="A110" s="907" t="s">
        <v>467</v>
      </c>
      <c r="B110" s="411" t="s">
        <v>1298</v>
      </c>
      <c r="C110" s="159">
        <v>4.5</v>
      </c>
      <c r="D110" s="535"/>
      <c r="E110" s="616">
        <f>'19 General Wages'!K18*(1+'19 General Wages'!L18+'21 Sales Taxes'!G17)*(1+'14 Space Heating Detailed Costs'!I5)</f>
        <v>45.961953937369422</v>
      </c>
      <c r="F110" s="8"/>
      <c r="G110" s="8"/>
      <c r="H110" s="8"/>
      <c r="I110" s="9" t="s">
        <v>829</v>
      </c>
      <c r="L110" s="289" t="s">
        <v>27</v>
      </c>
      <c r="M110" s="814">
        <v>0</v>
      </c>
      <c r="N110" s="814">
        <v>0</v>
      </c>
      <c r="O110" s="815">
        <v>0</v>
      </c>
    </row>
    <row r="111" spans="1:18" ht="21" customHeight="1" x14ac:dyDescent="0.25">
      <c r="A111" s="1255" t="s">
        <v>1381</v>
      </c>
      <c r="B111" s="1255"/>
      <c r="C111" s="1255"/>
      <c r="D111" s="1255"/>
      <c r="E111" s="1255"/>
      <c r="F111" s="1255"/>
      <c r="G111" s="1255"/>
      <c r="H111" s="1255"/>
      <c r="I111" s="1255"/>
      <c r="J111" s="1255"/>
      <c r="K111" s="305"/>
      <c r="L111" s="289" t="s">
        <v>25</v>
      </c>
      <c r="M111" s="814">
        <v>0</v>
      </c>
      <c r="N111" s="814">
        <v>0</v>
      </c>
      <c r="O111" s="815">
        <v>0</v>
      </c>
    </row>
    <row r="112" spans="1:18" ht="21" customHeight="1" x14ac:dyDescent="0.25">
      <c r="A112" s="526" t="s">
        <v>298</v>
      </c>
      <c r="B112" s="8"/>
      <c r="C112" s="526" t="s">
        <v>127</v>
      </c>
      <c r="D112" s="533" t="s">
        <v>239</v>
      </c>
      <c r="E112" s="526" t="s">
        <v>299</v>
      </c>
      <c r="F112" s="526"/>
      <c r="G112" s="526" t="s">
        <v>300</v>
      </c>
      <c r="L112" s="289" t="s">
        <v>23</v>
      </c>
      <c r="M112" s="814">
        <v>0</v>
      </c>
      <c r="N112" s="814">
        <v>0</v>
      </c>
      <c r="O112" s="815">
        <v>0</v>
      </c>
    </row>
    <row r="113" spans="1:18" ht="21" customHeight="1" thickBot="1" x14ac:dyDescent="0.3">
      <c r="A113" s="6"/>
      <c r="B113" s="6"/>
      <c r="D113" s="167" t="s">
        <v>468</v>
      </c>
      <c r="E113" s="8"/>
      <c r="F113" s="8"/>
      <c r="G113" s="550"/>
      <c r="L113" s="957" t="s">
        <v>151</v>
      </c>
      <c r="M113" s="571">
        <f>($E$107*'19 General Wages'!K18)*(1+'21 Sales Taxes'!G17+'19 General Wages'!L18)*(1+$C$9) + $F$107*(1+'21 Sales Taxes'!H17)*(1+$C$11)</f>
        <v>966.20263408344874</v>
      </c>
      <c r="N113" s="571">
        <f>($E$106*'19 General Wages'!K18)*(1+'21 Sales Taxes'!G17+'19 General Wages'!L18)*(1+$C$9) + $F$106*(1+'21 Sales Taxes'!H17)*(1+$C$11)</f>
        <v>1770.3143829135768</v>
      </c>
      <c r="O113" s="913">
        <f>N113*'23 Venting Notes'!D19+(1-'23 Venting Notes'!D19)*'16 Water Heating Costs'!M113</f>
        <v>1159.1894538026795</v>
      </c>
    </row>
    <row r="114" spans="1:18" ht="21" customHeight="1" x14ac:dyDescent="0.3">
      <c r="A114" s="52"/>
      <c r="B114" s="52"/>
      <c r="C114" s="52"/>
      <c r="D114" s="42" t="s">
        <v>1561</v>
      </c>
      <c r="E114" s="8"/>
      <c r="F114" s="8"/>
      <c r="G114" s="52"/>
      <c r="L114" s="5" t="s">
        <v>1624</v>
      </c>
    </row>
    <row r="115" spans="1:18" ht="21" customHeight="1" x14ac:dyDescent="0.25">
      <c r="A115" s="52"/>
      <c r="B115" s="6"/>
      <c r="C115" s="52"/>
      <c r="D115" s="8"/>
      <c r="E115" s="8"/>
      <c r="F115" s="8"/>
      <c r="G115" s="530"/>
    </row>
    <row r="116" spans="1:18" ht="21" customHeight="1" thickBot="1" x14ac:dyDescent="0.3">
      <c r="A116" s="52"/>
      <c r="B116" s="6"/>
      <c r="C116" s="52"/>
      <c r="D116" s="530"/>
      <c r="E116" s="8"/>
      <c r="F116" s="8"/>
      <c r="G116" s="8"/>
      <c r="K116" s="167"/>
    </row>
    <row r="117" spans="1:18" ht="21" customHeight="1" x14ac:dyDescent="0.3">
      <c r="A117" s="1255" t="s">
        <v>1382</v>
      </c>
      <c r="B117" s="1255"/>
      <c r="C117" s="1255"/>
      <c r="D117" s="1255"/>
      <c r="E117" s="1255"/>
      <c r="F117" s="1255"/>
      <c r="G117" s="1255"/>
      <c r="H117" s="1255"/>
      <c r="I117" s="1255"/>
      <c r="J117" s="1255"/>
      <c r="L117" s="1240" t="s">
        <v>1357</v>
      </c>
      <c r="M117" s="1241"/>
      <c r="N117" s="1241"/>
      <c r="O117" s="1241"/>
      <c r="P117" s="1242"/>
      <c r="Q117" s="334"/>
      <c r="R117" s="334"/>
    </row>
    <row r="118" spans="1:18" ht="21" customHeight="1" x14ac:dyDescent="0.25">
      <c r="A118" s="526" t="s">
        <v>298</v>
      </c>
      <c r="B118" s="8"/>
      <c r="C118" s="526" t="s">
        <v>127</v>
      </c>
      <c r="D118" s="533" t="s">
        <v>239</v>
      </c>
      <c r="E118" s="526" t="s">
        <v>299</v>
      </c>
      <c r="F118" s="526"/>
      <c r="G118" s="526" t="s">
        <v>300</v>
      </c>
      <c r="L118" s="508" t="s">
        <v>519</v>
      </c>
      <c r="M118" s="509" t="s">
        <v>843</v>
      </c>
      <c r="N118" s="509" t="s">
        <v>842</v>
      </c>
      <c r="O118" s="509" t="s">
        <v>844</v>
      </c>
      <c r="P118" s="510" t="s">
        <v>845</v>
      </c>
    </row>
    <row r="119" spans="1:18" ht="21" customHeight="1" x14ac:dyDescent="0.25">
      <c r="A119" s="554"/>
      <c r="B119" s="8"/>
      <c r="C119" s="8"/>
      <c r="D119" s="167" t="s">
        <v>483</v>
      </c>
      <c r="E119" s="8"/>
      <c r="F119" s="8"/>
      <c r="G119" s="8"/>
      <c r="L119" s="289" t="s">
        <v>32</v>
      </c>
      <c r="M119" s="618">
        <f>($C$143*'23 Venting Notes'!B10+(1-'23 Venting Notes'!B10)*'16 Water Heating Costs'!$C$144)*'19 General Wages'!T9</f>
        <v>759.4723917509067</v>
      </c>
      <c r="N119" s="618">
        <f>($C$140*'23 Venting Notes'!B10+(1-'23 Venting Notes'!B10)*'16 Water Heating Costs'!$C$139)*'19 General Wages'!T9</f>
        <v>2366.0178571041974</v>
      </c>
      <c r="O119" s="618">
        <f>($C$143*'23 Venting Notes'!B10+(1-'23 Venting Notes'!B10)*'16 Water Heating Costs'!$C$144)*'19 General Wages'!T9</f>
        <v>759.4723917509067</v>
      </c>
      <c r="P119" s="644">
        <f>($C$140*'23 Venting Notes'!B10+(1-'23 Venting Notes'!B10)*'16 Water Heating Costs'!$C$139)*'19 General Wages'!T9</f>
        <v>2366.0178571041974</v>
      </c>
    </row>
    <row r="120" spans="1:18" ht="21" customHeight="1" x14ac:dyDescent="0.25">
      <c r="A120" s="554"/>
      <c r="B120" s="8"/>
      <c r="C120" s="8"/>
      <c r="D120" s="42" t="s">
        <v>1561</v>
      </c>
      <c r="E120" s="8"/>
      <c r="F120" s="8"/>
      <c r="G120" s="537"/>
      <c r="L120" s="289" t="s">
        <v>60</v>
      </c>
      <c r="M120" s="618">
        <f>($C$143*'23 Venting Notes'!B11+(1-'23 Venting Notes'!B11)*'16 Water Heating Costs'!$C$144)*'19 General Wages'!T10</f>
        <v>715.80847658991217</v>
      </c>
      <c r="N120" s="618">
        <f>($C$140*'23 Venting Notes'!B11+ (1-'23 Venting Notes'!B11)*'16 Water Heating Costs'!$C$139)*'19 General Wages'!T10</f>
        <v>2218.2264418058471</v>
      </c>
      <c r="O120" s="618">
        <f>($C$143*'23 Venting Notes'!B11+(1-'23 Venting Notes'!B11)*'16 Water Heating Costs'!$C$144)*'19 General Wages'!T10</f>
        <v>715.80847658991217</v>
      </c>
      <c r="P120" s="644">
        <f>($C$140*'23 Venting Notes'!B11+(1-'23 Venting Notes'!B11)*'16 Water Heating Costs'!$C$139)*'19 General Wages'!T10</f>
        <v>2218.2264418058471</v>
      </c>
    </row>
    <row r="121" spans="1:18" ht="21" customHeight="1" x14ac:dyDescent="0.3">
      <c r="A121" s="1256" t="s">
        <v>1383</v>
      </c>
      <c r="B121" s="1257"/>
      <c r="C121" s="1257"/>
      <c r="D121" s="1257"/>
      <c r="E121" s="1257"/>
      <c r="F121" s="1257"/>
      <c r="G121" s="1257"/>
      <c r="H121" s="1257"/>
      <c r="I121" s="1257"/>
      <c r="J121" s="1257"/>
      <c r="L121" s="289" t="s">
        <v>41</v>
      </c>
      <c r="M121" s="618">
        <f>($C$143*'23 Venting Notes'!B12+(1-'23 Venting Notes'!B12)*'16 Water Heating Costs'!$C$144)*'19 General Wages'!T11</f>
        <v>654.31794257235822</v>
      </c>
      <c r="N121" s="618">
        <f>($C$140*'23 Venting Notes'!B12+ (1-'23 Venting Notes'!B12)*'16 Water Heating Costs'!$C$139)*'19 General Wages'!T11</f>
        <v>2002.709404141641</v>
      </c>
      <c r="O121" s="618">
        <f>($C$143*'23 Venting Notes'!B12+(1-'23 Venting Notes'!B12)*'16 Water Heating Costs'!$C$144)*'19 General Wages'!T11</f>
        <v>654.31794257235822</v>
      </c>
      <c r="P121" s="644">
        <f>($C$140*'23 Venting Notes'!B12+(1-'23 Venting Notes'!B12)*'16 Water Heating Costs'!$C$139)*'19 General Wages'!T11</f>
        <v>2002.709404141641</v>
      </c>
    </row>
    <row r="122" spans="1:18" ht="21" customHeight="1" x14ac:dyDescent="0.25">
      <c r="A122" s="526" t="s">
        <v>298</v>
      </c>
      <c r="B122" s="8"/>
      <c r="C122" s="526" t="s">
        <v>127</v>
      </c>
      <c r="D122" s="8"/>
      <c r="E122" s="526" t="s">
        <v>299</v>
      </c>
      <c r="F122" s="526"/>
      <c r="G122" s="526" t="s">
        <v>300</v>
      </c>
      <c r="H122" s="8"/>
      <c r="I122" s="533" t="s">
        <v>236</v>
      </c>
      <c r="L122" s="289" t="s">
        <v>44</v>
      </c>
      <c r="M122" s="618">
        <f>($C$143*'23 Venting Notes'!B13+(1-'23 Venting Notes'!B13)*'16 Water Heating Costs'!$C$144)*'19 General Wages'!T12</f>
        <v>663.89772846619303</v>
      </c>
      <c r="N122" s="618">
        <f>($C$140*'23 Venting Notes'!B13+ (1-'23 Venting Notes'!B13)*'16 Water Heating Costs'!$C$139)*'19 General Wages'!T12</f>
        <v>2044.0832635139996</v>
      </c>
      <c r="O122" s="618">
        <f>($C$143*'23 Venting Notes'!B13+(1-'23 Venting Notes'!B13)*'16 Water Heating Costs'!$C$144)*'19 General Wages'!T12</f>
        <v>663.89772846619303</v>
      </c>
      <c r="P122" s="644">
        <f>($C$140*'23 Venting Notes'!B13+(1-'23 Venting Notes'!B13)*'16 Water Heating Costs'!$C$139)*'19 General Wages'!T12</f>
        <v>2044.0832635139996</v>
      </c>
    </row>
    <row r="123" spans="1:18" ht="21" customHeight="1" x14ac:dyDescent="0.25">
      <c r="A123" s="637" t="s">
        <v>1460</v>
      </c>
      <c r="B123" s="8"/>
      <c r="C123" s="551"/>
      <c r="D123" s="553"/>
      <c r="E123" s="563"/>
      <c r="F123" s="555"/>
      <c r="G123" s="589">
        <f>B128</f>
        <v>110</v>
      </c>
      <c r="H123" s="8"/>
      <c r="I123" s="9" t="s">
        <v>827</v>
      </c>
      <c r="L123" s="289" t="s">
        <v>34</v>
      </c>
      <c r="M123" s="618">
        <f>($C$143*'23 Venting Notes'!B14+(1-'23 Venting Notes'!B14)*'16 Water Heating Costs'!$C$144)*'19 General Wages'!T13</f>
        <v>533.73229769988541</v>
      </c>
      <c r="N123" s="618">
        <f>($C$140*'23 Venting Notes'!B14+ (1-'23 Venting Notes'!B14)*'16 Water Heating Costs'!$C$139)*'19 General Wages'!T13</f>
        <v>1559.2137217329876</v>
      </c>
      <c r="O123" s="618">
        <f>($C$143*'23 Venting Notes'!B14+(1-'23 Venting Notes'!B14)*'16 Water Heating Costs'!$C$144)*'19 General Wages'!T13</f>
        <v>533.73229769988541</v>
      </c>
      <c r="P123" s="644">
        <f>($C$140*'23 Venting Notes'!B14+(1-'23 Venting Notes'!B14)*'16 Water Heating Costs'!$C$139)*'19 General Wages'!T13</f>
        <v>1559.2137217329876</v>
      </c>
    </row>
    <row r="124" spans="1:18" ht="21" customHeight="1" x14ac:dyDescent="0.25">
      <c r="A124" s="8"/>
      <c r="B124" s="8"/>
      <c r="C124" s="8"/>
      <c r="D124" s="556"/>
      <c r="E124" s="8"/>
      <c r="F124" s="8"/>
      <c r="G124" s="8"/>
      <c r="H124" s="9"/>
      <c r="I124" s="8"/>
      <c r="L124" s="289" t="s">
        <v>20</v>
      </c>
      <c r="M124" s="618">
        <f>($C$143*'23 Venting Notes'!B15+(1-'23 Venting Notes'!B15)*'16 Water Heating Costs'!$C$144)*'19 General Wages'!T14</f>
        <v>488.66286004674561</v>
      </c>
      <c r="N124" s="618">
        <f>($C$140*'23 Venting Notes'!B15+ (1-'23 Venting Notes'!B15)*'16 Water Heating Costs'!$C$139)*'19 General Wages'!T14</f>
        <v>1418.775061274617</v>
      </c>
      <c r="O124" s="618">
        <f>($C$143*'23 Venting Notes'!B15+(1-'23 Venting Notes'!B15)*'16 Water Heating Costs'!$C$144)*'19 General Wages'!T14</f>
        <v>488.66286004674561</v>
      </c>
      <c r="P124" s="644">
        <f>($C$140*'23 Venting Notes'!B15+(1-'23 Venting Notes'!B15)*'16 Water Heating Costs'!$C$139)*'19 General Wages'!T14</f>
        <v>1418.775061274617</v>
      </c>
    </row>
    <row r="125" spans="1:18" ht="21" customHeight="1" x14ac:dyDescent="0.25">
      <c r="A125" s="557" t="s">
        <v>828</v>
      </c>
      <c r="B125" s="558"/>
      <c r="C125" s="8"/>
      <c r="D125" s="8"/>
      <c r="E125" s="8"/>
      <c r="F125" s="8"/>
      <c r="G125" s="8"/>
      <c r="H125" s="8"/>
      <c r="I125" s="8"/>
      <c r="L125" s="289" t="s">
        <v>27</v>
      </c>
      <c r="M125" s="618">
        <f>($C$143*'23 Venting Notes'!B16+(1-'23 Venting Notes'!B16)*'16 Water Heating Costs'!$C$144)*'19 General Wages'!T15</f>
        <v>502.55775867477183</v>
      </c>
      <c r="N125" s="618">
        <f>($C$140*'23 Venting Notes'!B16+ (1-'23 Venting Notes'!B16)*'16 Water Heating Costs'!$C$139)*'19 General Wages'!T15</f>
        <v>1433.2444584217772</v>
      </c>
      <c r="O125" s="618">
        <f>($C$143*'23 Venting Notes'!B16+(1-'23 Venting Notes'!B16)*'16 Water Heating Costs'!$C$144)*'19 General Wages'!T15</f>
        <v>502.55775867477183</v>
      </c>
      <c r="P125" s="644">
        <f>($C$140*'23 Venting Notes'!B16+(1-'23 Venting Notes'!B16)*'16 Water Heating Costs'!$C$139)*'19 General Wages'!T15</f>
        <v>1433.2444584217772</v>
      </c>
    </row>
    <row r="126" spans="1:18" ht="35.450000000000003" customHeight="1" x14ac:dyDescent="0.25">
      <c r="A126" s="1063" t="s">
        <v>481</v>
      </c>
      <c r="B126" s="1064" t="s">
        <v>487</v>
      </c>
      <c r="C126" s="8"/>
      <c r="D126" s="8"/>
      <c r="E126" s="8"/>
      <c r="F126" s="8"/>
      <c r="G126" s="8"/>
      <c r="H126" s="9"/>
      <c r="I126" s="8"/>
      <c r="L126" s="289" t="s">
        <v>25</v>
      </c>
      <c r="M126" s="618">
        <f>($C$143*'23 Venting Notes'!B17+(1-'23 Venting Notes'!B17)*'16 Water Heating Costs'!$C$144)*'19 General Wages'!T16</f>
        <v>581.74062273292998</v>
      </c>
      <c r="N126" s="618">
        <f>($C$140*'23 Venting Notes'!B17+ (1-'23 Venting Notes'!B17)*'16 Water Heating Costs'!$C$139)*'19 General Wages'!T16</f>
        <v>1738.7765375010299</v>
      </c>
      <c r="O126" s="618">
        <f>($C$143*'23 Venting Notes'!B17+(1-'23 Venting Notes'!B17)*'16 Water Heating Costs'!$C$144)*'19 General Wages'!T16</f>
        <v>581.74062273292998</v>
      </c>
      <c r="P126" s="644">
        <f>($C$140*'23 Venting Notes'!B17+(1-'23 Venting Notes'!B17)*'16 Water Heating Costs'!$C$139)*'19 General Wages'!T16</f>
        <v>1738.7765375010299</v>
      </c>
    </row>
    <row r="127" spans="1:18" ht="33" customHeight="1" x14ac:dyDescent="0.25">
      <c r="A127" s="1063" t="s">
        <v>486</v>
      </c>
      <c r="B127" s="1064" t="s">
        <v>488</v>
      </c>
      <c r="C127" s="8"/>
      <c r="D127" s="8"/>
      <c r="E127" s="8"/>
      <c r="F127" s="8"/>
      <c r="G127" s="8"/>
      <c r="H127" s="8"/>
      <c r="I127" s="8"/>
      <c r="L127" s="289" t="s">
        <v>23</v>
      </c>
      <c r="M127" s="618">
        <f>($C$143*'23 Venting Notes'!B18+(1-'23 Venting Notes'!B18)*'16 Water Heating Costs'!$C$144)*'19 General Wages'!T17</f>
        <v>683.25456512736991</v>
      </c>
      <c r="N127" s="618">
        <f>($C$140*'23 Venting Notes'!B18+ (1-'23 Venting Notes'!B18)*'16 Water Heating Costs'!$C$139)*'19 General Wages'!T17</f>
        <v>1995.2792453558036</v>
      </c>
      <c r="O127" s="618">
        <f>($C$143*'23 Venting Notes'!B18+(1-'23 Venting Notes'!B18)*'16 Water Heating Costs'!$C$144)*'19 General Wages'!T17</f>
        <v>683.25456512736991</v>
      </c>
      <c r="P127" s="644">
        <f>($C$140*'23 Venting Notes'!B18+(1-'23 Venting Notes'!B18)*'16 Water Heating Costs'!$C$139)*'19 General Wages'!T17</f>
        <v>1995.2792453558036</v>
      </c>
    </row>
    <row r="128" spans="1:18" ht="21" customHeight="1" thickBot="1" x14ac:dyDescent="0.3">
      <c r="A128" s="559" t="s">
        <v>239</v>
      </c>
      <c r="B128" s="1065">
        <f>AVERAGE(30,160,50,200)</f>
        <v>110</v>
      </c>
      <c r="C128" s="8"/>
      <c r="D128" s="8"/>
      <c r="E128" s="8"/>
      <c r="F128" s="8"/>
      <c r="G128" s="8"/>
      <c r="H128" s="8"/>
      <c r="I128" s="8"/>
      <c r="L128" s="957" t="s">
        <v>151</v>
      </c>
      <c r="M128" s="646">
        <f>($C$143*'23 Venting Notes'!B19+(1-'23 Venting Notes'!B19)*'16 Water Heating Costs'!$C$144)*'19 General Wages'!T18</f>
        <v>612.48908403745986</v>
      </c>
      <c r="N128" s="646">
        <f>($C$140*'23 Venting Notes'!B19+ (1-'23 Venting Notes'!B19)*'16 Water Heating Costs'!$C$139)*'19 General Wages'!T18</f>
        <v>1836.7013148070705</v>
      </c>
      <c r="O128" s="646">
        <f>($C$143*'23 Venting Notes'!B19+(1-'23 Venting Notes'!B19)*'16 Water Heating Costs'!$C$144)*'19 General Wages'!T18</f>
        <v>612.48908403745986</v>
      </c>
      <c r="P128" s="647">
        <f>($C$140*'23 Venting Notes'!B19+(1-'23 Venting Notes'!B19)*'16 Water Heating Costs'!$C$139)*'19 General Wages'!T18</f>
        <v>1836.7013148070705</v>
      </c>
    </row>
    <row r="129" spans="1:17" ht="21" customHeight="1" x14ac:dyDescent="0.25">
      <c r="A129" s="554"/>
      <c r="B129" s="8"/>
      <c r="C129" s="8"/>
      <c r="D129" s="8"/>
      <c r="E129" s="8"/>
      <c r="F129" s="8"/>
      <c r="G129" s="8"/>
      <c r="H129" s="8"/>
      <c r="I129" s="8"/>
    </row>
    <row r="130" spans="1:17" ht="21" customHeight="1" thickBot="1" x14ac:dyDescent="0.35">
      <c r="A130" s="1256" t="s">
        <v>1384</v>
      </c>
      <c r="B130" s="1257"/>
      <c r="C130" s="1257"/>
      <c r="D130" s="1257"/>
      <c r="E130" s="1257"/>
      <c r="F130" s="1257"/>
      <c r="G130" s="1257"/>
      <c r="H130" s="1257"/>
      <c r="I130" s="1257"/>
      <c r="J130" s="1258"/>
    </row>
    <row r="131" spans="1:17" ht="21" customHeight="1" x14ac:dyDescent="0.25">
      <c r="A131" s="526" t="s">
        <v>298</v>
      </c>
      <c r="B131" s="8"/>
      <c r="C131" s="526" t="s">
        <v>127</v>
      </c>
      <c r="D131" s="526" t="s">
        <v>299</v>
      </c>
      <c r="E131" s="526" t="s">
        <v>300</v>
      </c>
      <c r="F131" s="526"/>
      <c r="G131" s="8"/>
      <c r="H131" s="8"/>
      <c r="I131" s="533" t="s">
        <v>236</v>
      </c>
      <c r="L131" s="1240" t="s">
        <v>1356</v>
      </c>
      <c r="M131" s="1241"/>
      <c r="N131" s="1241"/>
      <c r="O131" s="1241"/>
      <c r="P131" s="1242"/>
      <c r="Q131" s="50" t="s">
        <v>1452</v>
      </c>
    </row>
    <row r="132" spans="1:17" ht="21" customHeight="1" x14ac:dyDescent="0.25">
      <c r="A132" s="535" t="s">
        <v>1352</v>
      </c>
      <c r="B132" s="535"/>
      <c r="C132" s="616">
        <f>AVERAGE(1000,1500)</f>
        <v>1250</v>
      </c>
      <c r="D132" s="699">
        <f>C132-C135</f>
        <v>1020.1902303131528</v>
      </c>
      <c r="E132" s="629">
        <f>C133</f>
        <v>5</v>
      </c>
      <c r="F132" s="8"/>
      <c r="G132" s="8"/>
      <c r="H132" s="8"/>
      <c r="I132" s="9" t="s">
        <v>826</v>
      </c>
      <c r="L132" s="508" t="s">
        <v>519</v>
      </c>
      <c r="M132" s="509" t="s">
        <v>843</v>
      </c>
      <c r="N132" s="509" t="s">
        <v>842</v>
      </c>
      <c r="O132" s="509" t="s">
        <v>844</v>
      </c>
      <c r="P132" s="510" t="s">
        <v>845</v>
      </c>
    </row>
    <row r="133" spans="1:17" ht="21" customHeight="1" x14ac:dyDescent="0.25">
      <c r="A133" s="535" t="s">
        <v>484</v>
      </c>
      <c r="B133" s="535"/>
      <c r="C133" s="612">
        <f>AVERAGE(4,6)</f>
        <v>5</v>
      </c>
      <c r="D133" s="535"/>
      <c r="E133" s="535"/>
      <c r="F133" s="8"/>
      <c r="G133" s="8"/>
      <c r="H133" s="8"/>
      <c r="I133" s="8"/>
      <c r="L133" s="289" t="s">
        <v>32</v>
      </c>
      <c r="M133" s="618">
        <f>$C$144*'19 General Wages'!T9</f>
        <v>570.51900005857317</v>
      </c>
      <c r="N133" s="618">
        <f>$C$139*'19 General Wages'!T9</f>
        <v>1523.2857301563904</v>
      </c>
      <c r="O133" s="618">
        <f>$C$144*'19 General Wages'!T9</f>
        <v>570.51900005857317</v>
      </c>
      <c r="P133" s="644">
        <f>$C$139*'19 General Wages'!T9</f>
        <v>1523.2857301563904</v>
      </c>
    </row>
    <row r="134" spans="1:17" ht="21" customHeight="1" x14ac:dyDescent="0.25">
      <c r="A134" s="535" t="s">
        <v>1340</v>
      </c>
      <c r="B134" s="616">
        <f>'19 General Wages'!K18*(1+'19 General Wages'!L18+'21 Sales Taxes'!G17)*(1+'14 Space Heating Detailed Costs'!I5)</f>
        <v>45.961953937369422</v>
      </c>
      <c r="C134" s="355"/>
      <c r="D134" s="535"/>
      <c r="E134" s="535"/>
      <c r="F134" s="560"/>
      <c r="G134" s="560"/>
      <c r="H134" s="560"/>
      <c r="I134" s="560"/>
      <c r="J134" s="347"/>
      <c r="L134" s="289" t="s">
        <v>60</v>
      </c>
      <c r="M134" s="618">
        <f>$C$144*'19 General Wages'!T10</f>
        <v>544.29014736601198</v>
      </c>
      <c r="N134" s="618">
        <f>$C$139*'19 General Wages'!T10</f>
        <v>1453.2546934672521</v>
      </c>
      <c r="O134" s="618">
        <f>$C$144*'19 General Wages'!T10</f>
        <v>544.29014736601198</v>
      </c>
      <c r="P134" s="644">
        <f>$C$139*'19 General Wages'!T10</f>
        <v>1453.2546934672521</v>
      </c>
    </row>
    <row r="135" spans="1:17" ht="21" customHeight="1" x14ac:dyDescent="0.25">
      <c r="A135" s="355" t="s">
        <v>1353</v>
      </c>
      <c r="B135" s="535"/>
      <c r="C135" s="616">
        <f>B134*C133</f>
        <v>229.80976968684712</v>
      </c>
      <c r="D135" s="638"/>
      <c r="E135" s="533"/>
      <c r="F135" s="355"/>
      <c r="G135" s="355"/>
      <c r="H135" s="526"/>
      <c r="I135" s="526"/>
      <c r="J135" s="24"/>
      <c r="K135" s="158"/>
      <c r="L135" s="289" t="s">
        <v>41</v>
      </c>
      <c r="M135" s="618">
        <f>$C$144*'19 General Wages'!T11</f>
        <v>511.47967582741728</v>
      </c>
      <c r="N135" s="618">
        <f>$C$139*'19 General Wages'!T11</f>
        <v>1365.6507344592042</v>
      </c>
      <c r="O135" s="618">
        <f>$C$144*'19 General Wages'!T11</f>
        <v>511.47967582741728</v>
      </c>
      <c r="P135" s="644">
        <f>$C$139*'19 General Wages'!T11</f>
        <v>1365.6507344592042</v>
      </c>
    </row>
    <row r="136" spans="1:17" ht="21" customHeight="1" x14ac:dyDescent="0.25">
      <c r="A136" s="535"/>
      <c r="B136" s="535"/>
      <c r="C136" s="535"/>
      <c r="D136" s="639"/>
      <c r="E136" s="639"/>
      <c r="F136" s="549"/>
      <c r="G136" s="8"/>
      <c r="H136" s="8"/>
      <c r="I136" s="8"/>
      <c r="L136" s="289" t="s">
        <v>44</v>
      </c>
      <c r="M136" s="618">
        <f>$C$144*'19 General Wages'!T12</f>
        <v>512.23497510906213</v>
      </c>
      <c r="N136" s="618">
        <f>$C$139*'19 General Wages'!T12</f>
        <v>1367.6673835411959</v>
      </c>
      <c r="O136" s="618">
        <f>$C$144*'19 General Wages'!T12</f>
        <v>512.23497510906213</v>
      </c>
      <c r="P136" s="644">
        <f>$C$139*'19 General Wages'!T12</f>
        <v>1367.6673835411959</v>
      </c>
    </row>
    <row r="137" spans="1:17" ht="21" customHeight="1" x14ac:dyDescent="0.25">
      <c r="A137" s="355" t="s">
        <v>835</v>
      </c>
      <c r="B137" s="535"/>
      <c r="C137" s="535"/>
      <c r="D137" s="535"/>
      <c r="E137" s="535"/>
      <c r="F137" s="66"/>
      <c r="G137" s="8"/>
      <c r="H137" s="8"/>
      <c r="I137" s="8"/>
      <c r="K137" s="287"/>
      <c r="L137" s="289" t="s">
        <v>34</v>
      </c>
      <c r="M137" s="618">
        <f>$C$144*'19 General Wages'!T13</f>
        <v>458.78900894329661</v>
      </c>
      <c r="N137" s="618">
        <f>$C$139*'19 General Wages'!T13</f>
        <v>1224.9666538786018</v>
      </c>
      <c r="O137" s="618">
        <f>$C$144*'19 General Wages'!T13</f>
        <v>458.78900894329661</v>
      </c>
      <c r="P137" s="644">
        <f>$C$139*'19 General Wages'!T13</f>
        <v>1224.9666538786018</v>
      </c>
    </row>
    <row r="138" spans="1:17" ht="21" customHeight="1" x14ac:dyDescent="0.25">
      <c r="A138" s="533" t="s">
        <v>839</v>
      </c>
      <c r="B138" s="535" t="s">
        <v>834</v>
      </c>
      <c r="C138" s="535"/>
      <c r="D138" s="535"/>
      <c r="E138" s="535"/>
      <c r="F138" s="8"/>
      <c r="G138" s="8"/>
      <c r="H138" s="8"/>
      <c r="I138" s="8"/>
      <c r="L138" s="289" t="s">
        <v>20</v>
      </c>
      <c r="M138" s="618">
        <f>$C$144*'19 General Wages'!T14</f>
        <v>424.95044387366943</v>
      </c>
      <c r="N138" s="618">
        <f>$C$139*'19 General Wages'!T14</f>
        <v>1134.6176851426974</v>
      </c>
      <c r="O138" s="618">
        <f>$C$144*'19 General Wages'!T14</f>
        <v>424.95044387366943</v>
      </c>
      <c r="P138" s="644">
        <f>$C$139*'19 General Wages'!T14</f>
        <v>1134.6176851426974</v>
      </c>
    </row>
    <row r="139" spans="1:17" ht="21" customHeight="1" x14ac:dyDescent="0.25">
      <c r="A139" s="535" t="s">
        <v>832</v>
      </c>
      <c r="B139" s="159" t="s">
        <v>1299</v>
      </c>
      <c r="C139" s="616">
        <f>(670+2000)/2</f>
        <v>1335</v>
      </c>
      <c r="D139" s="640"/>
      <c r="E139" s="535"/>
      <c r="F139" s="549"/>
      <c r="G139" s="561"/>
      <c r="H139" s="562"/>
      <c r="I139" s="562"/>
      <c r="J139" s="20"/>
      <c r="L139" s="289" t="s">
        <v>27</v>
      </c>
      <c r="M139" s="618">
        <f>$C$144*'19 General Wages'!T15</f>
        <v>451.4877906523493</v>
      </c>
      <c r="N139" s="618">
        <f>$C$139*'19 General Wages'!T15</f>
        <v>1205.4724010417726</v>
      </c>
      <c r="O139" s="618">
        <f>$C$144*'19 General Wages'!T15</f>
        <v>451.4877906523493</v>
      </c>
      <c r="P139" s="644">
        <f>$C$139*'19 General Wages'!T15</f>
        <v>1205.4724010417726</v>
      </c>
    </row>
    <row r="140" spans="1:17" ht="21" customHeight="1" x14ac:dyDescent="0.25">
      <c r="A140" s="535" t="s">
        <v>831</v>
      </c>
      <c r="B140" s="159" t="s">
        <v>1300</v>
      </c>
      <c r="C140" s="616">
        <f>(900+4000)/2</f>
        <v>2450</v>
      </c>
      <c r="D140" s="640"/>
      <c r="E140" s="535"/>
      <c r="F140" s="549"/>
      <c r="G140" s="561"/>
      <c r="H140" s="562"/>
      <c r="I140" s="562"/>
      <c r="J140" s="20"/>
      <c r="L140" s="289" t="s">
        <v>25</v>
      </c>
      <c r="M140" s="618">
        <f>$C$144*'19 General Wages'!T16</f>
        <v>478.09309490940643</v>
      </c>
      <c r="N140" s="618">
        <f>$C$139*'19 General Wages'!T16</f>
        <v>1276.5085634081152</v>
      </c>
      <c r="O140" s="618">
        <f>$C$144*'19 General Wages'!T16</f>
        <v>478.09309490940643</v>
      </c>
      <c r="P140" s="644">
        <f>$C$139*'19 General Wages'!T16</f>
        <v>1276.5085634081152</v>
      </c>
    </row>
    <row r="141" spans="1:17" ht="21" customHeight="1" x14ac:dyDescent="0.25">
      <c r="A141" s="526"/>
      <c r="B141" s="535"/>
      <c r="C141" s="535"/>
      <c r="D141" s="535"/>
      <c r="E141" s="535"/>
      <c r="F141" s="549"/>
      <c r="G141" s="561"/>
      <c r="H141" s="562"/>
      <c r="I141" s="562"/>
      <c r="J141" s="20"/>
      <c r="L141" s="289" t="s">
        <v>23</v>
      </c>
      <c r="M141" s="618">
        <f>$C$144*'19 General Wages'!T17</f>
        <v>587.72967324707622</v>
      </c>
      <c r="N141" s="618">
        <f>$C$139*'19 General Wages'!T17</f>
        <v>1569.2382275696937</v>
      </c>
      <c r="O141" s="618">
        <f>$C$144*'19 General Wages'!T17</f>
        <v>587.72967324707622</v>
      </c>
      <c r="P141" s="644">
        <f>$C$139*'19 General Wages'!T17</f>
        <v>1569.2382275696937</v>
      </c>
    </row>
    <row r="142" spans="1:17" ht="21" customHeight="1" thickBot="1" x14ac:dyDescent="0.3">
      <c r="A142" s="533" t="s">
        <v>838</v>
      </c>
      <c r="B142" s="526" t="s">
        <v>127</v>
      </c>
      <c r="C142" s="526" t="s">
        <v>836</v>
      </c>
      <c r="D142" s="535"/>
      <c r="E142" s="535"/>
      <c r="F142" s="549"/>
      <c r="G142" s="561"/>
      <c r="H142" s="562"/>
      <c r="I142" s="562"/>
      <c r="J142" s="20"/>
      <c r="L142" s="957" t="s">
        <v>151</v>
      </c>
      <c r="M142" s="646">
        <f>$C$144*'19 General Wages'!T18</f>
        <v>500</v>
      </c>
      <c r="N142" s="646">
        <f>$C$139*'19 General Wages'!T18</f>
        <v>1335</v>
      </c>
      <c r="O142" s="646">
        <f>$C$144*'19 General Wages'!T18</f>
        <v>500</v>
      </c>
      <c r="P142" s="647">
        <f>$C$139*'19 General Wages'!T18</f>
        <v>1335</v>
      </c>
    </row>
    <row r="143" spans="1:17" ht="21" customHeight="1" x14ac:dyDescent="0.25">
      <c r="A143" s="355" t="s">
        <v>837</v>
      </c>
      <c r="B143" s="67" t="s">
        <v>1301</v>
      </c>
      <c r="C143" s="616">
        <f>(500+1000)/2</f>
        <v>750</v>
      </c>
      <c r="D143" s="535"/>
      <c r="E143" s="535"/>
      <c r="F143" s="549"/>
      <c r="G143" s="561"/>
      <c r="H143" s="562"/>
      <c r="I143" s="564" t="s">
        <v>841</v>
      </c>
      <c r="J143" s="20"/>
    </row>
    <row r="144" spans="1:17" ht="21" customHeight="1" thickBot="1" x14ac:dyDescent="0.3">
      <c r="A144" s="535" t="s">
        <v>830</v>
      </c>
      <c r="B144" s="535"/>
      <c r="C144" s="411">
        <v>500</v>
      </c>
      <c r="D144" s="535"/>
      <c r="E144" s="535"/>
      <c r="F144" s="549"/>
      <c r="G144" s="8"/>
      <c r="H144" s="8"/>
      <c r="I144" s="9" t="s">
        <v>840</v>
      </c>
      <c r="J144" s="20"/>
      <c r="K144" s="159"/>
      <c r="N144" s="303"/>
    </row>
    <row r="145" spans="1:17" ht="21" customHeight="1" x14ac:dyDescent="0.25">
      <c r="A145" s="8"/>
      <c r="B145" s="8"/>
      <c r="C145" s="553"/>
      <c r="D145" s="8"/>
      <c r="E145" s="8"/>
      <c r="F145" s="549"/>
      <c r="G145" s="561"/>
      <c r="H145" s="562"/>
      <c r="I145" s="562"/>
      <c r="J145" s="20"/>
      <c r="K145" s="287"/>
      <c r="L145" s="1240" t="s">
        <v>1355</v>
      </c>
      <c r="M145" s="1241"/>
      <c r="N145" s="1241"/>
      <c r="O145" s="1241"/>
      <c r="P145" s="1242"/>
      <c r="Q145" s="50" t="s">
        <v>1452</v>
      </c>
    </row>
    <row r="146" spans="1:17" ht="21" customHeight="1" x14ac:dyDescent="0.25">
      <c r="A146" s="8"/>
      <c r="B146" s="8"/>
      <c r="C146" s="8"/>
      <c r="D146" s="8"/>
      <c r="E146" s="8"/>
      <c r="F146" s="8"/>
      <c r="G146" s="8"/>
      <c r="H146" s="8"/>
      <c r="I146" s="8"/>
      <c r="J146" s="20"/>
      <c r="K146" s="304"/>
      <c r="L146" s="508" t="s">
        <v>519</v>
      </c>
      <c r="M146" s="509" t="s">
        <v>843</v>
      </c>
      <c r="N146" s="509" t="s">
        <v>842</v>
      </c>
      <c r="O146" s="509" t="s">
        <v>844</v>
      </c>
      <c r="P146" s="510" t="s">
        <v>845</v>
      </c>
    </row>
    <row r="147" spans="1:17" ht="21" customHeight="1" x14ac:dyDescent="0.25">
      <c r="J147" s="20"/>
      <c r="L147" s="289" t="s">
        <v>32</v>
      </c>
      <c r="M147" s="618">
        <f>$C$143*'19 General Wages'!T9</f>
        <v>855.7785000878597</v>
      </c>
      <c r="N147" s="618">
        <f>$C$140*'19 General Wages'!T9</f>
        <v>2795.5431002870082</v>
      </c>
      <c r="O147" s="618">
        <f>$C$143*'19 General Wages'!T9</f>
        <v>855.7785000878597</v>
      </c>
      <c r="P147" s="644">
        <f>$C$140*'19 General Wages'!T9</f>
        <v>2795.5431002870082</v>
      </c>
    </row>
    <row r="148" spans="1:17" ht="21" customHeight="1" x14ac:dyDescent="0.25">
      <c r="A148" s="1233" t="s">
        <v>808</v>
      </c>
      <c r="B148" s="1234"/>
      <c r="C148" s="1234"/>
      <c r="D148" s="1234"/>
      <c r="E148" s="1234"/>
      <c r="L148" s="289" t="s">
        <v>60</v>
      </c>
      <c r="M148" s="618">
        <f>$C$143*'19 General Wages'!T10</f>
        <v>816.43522104901797</v>
      </c>
      <c r="N148" s="618">
        <f>$C$140*'19 General Wages'!T10</f>
        <v>2667.0217220934587</v>
      </c>
      <c r="O148" s="618">
        <f>$C$143*'19 General Wages'!T10</f>
        <v>816.43522104901797</v>
      </c>
      <c r="P148" s="644">
        <f>$C$140*'19 General Wages'!T10</f>
        <v>2667.0217220934587</v>
      </c>
    </row>
    <row r="149" spans="1:17" ht="34.9" customHeight="1" x14ac:dyDescent="0.25">
      <c r="A149" s="202" t="s">
        <v>519</v>
      </c>
      <c r="B149" s="202" t="s">
        <v>165</v>
      </c>
      <c r="C149" s="202" t="s">
        <v>166</v>
      </c>
      <c r="D149" s="453" t="s">
        <v>168</v>
      </c>
      <c r="E149" s="202" t="s">
        <v>167</v>
      </c>
      <c r="L149" s="289" t="s">
        <v>41</v>
      </c>
      <c r="M149" s="618">
        <f>$C$143*'19 General Wages'!T11</f>
        <v>767.21951374112587</v>
      </c>
      <c r="N149" s="618">
        <f>$C$140*'19 General Wages'!T11</f>
        <v>2506.2504115543447</v>
      </c>
      <c r="O149" s="618">
        <f>$C$143*'19 General Wages'!T11</f>
        <v>767.21951374112587</v>
      </c>
      <c r="P149" s="644">
        <f>$C$140*'19 General Wages'!T11</f>
        <v>2506.2504115543447</v>
      </c>
    </row>
    <row r="150" spans="1:17" ht="21" customHeight="1" x14ac:dyDescent="0.25">
      <c r="A150" s="31"/>
      <c r="B150" s="641"/>
      <c r="C150" s="641"/>
      <c r="D150" s="641"/>
      <c r="E150" s="641"/>
      <c r="L150" s="289" t="s">
        <v>44</v>
      </c>
      <c r="M150" s="618">
        <f>$C$143*'19 General Wages'!T12</f>
        <v>768.3524626635932</v>
      </c>
      <c r="N150" s="618">
        <f>$C$140*'19 General Wages'!T12</f>
        <v>2509.9513780344046</v>
      </c>
      <c r="O150" s="618">
        <f>$C$143*'19 General Wages'!T12</f>
        <v>768.3524626635932</v>
      </c>
      <c r="P150" s="644">
        <f>$C$140*'19 General Wages'!T12</f>
        <v>2509.9513780344046</v>
      </c>
    </row>
    <row r="151" spans="1:17" ht="21" customHeight="1" x14ac:dyDescent="0.25">
      <c r="A151" s="31"/>
      <c r="B151" s="642"/>
      <c r="C151" s="642"/>
      <c r="D151" s="642"/>
      <c r="E151" s="642"/>
      <c r="L151" s="289" t="s">
        <v>34</v>
      </c>
      <c r="M151" s="618">
        <f>$C$143*'19 General Wages'!T13</f>
        <v>688.18351341494485</v>
      </c>
      <c r="N151" s="618">
        <f>$C$140*'19 General Wages'!T13</f>
        <v>2248.0661438221532</v>
      </c>
      <c r="O151" s="618">
        <f>$C$143*'19 General Wages'!T13</f>
        <v>688.18351341494485</v>
      </c>
      <c r="P151" s="644">
        <f>$C$140*'19 General Wages'!T13</f>
        <v>2248.0661438221532</v>
      </c>
    </row>
    <row r="152" spans="1:17" ht="21" customHeight="1" x14ac:dyDescent="0.25">
      <c r="A152" s="31"/>
      <c r="B152" s="641"/>
      <c r="C152" s="641"/>
      <c r="D152" s="641"/>
      <c r="E152" s="641"/>
      <c r="F152" s="20"/>
      <c r="L152" s="289" t="s">
        <v>20</v>
      </c>
      <c r="M152" s="618">
        <f>$C$143*'19 General Wages'!T14</f>
        <v>637.42566581050414</v>
      </c>
      <c r="N152" s="618">
        <f>$C$140*'19 General Wages'!T14</f>
        <v>2082.2571749809804</v>
      </c>
      <c r="O152" s="618">
        <f>$C$143*'19 General Wages'!T14</f>
        <v>637.42566581050414</v>
      </c>
      <c r="P152" s="644">
        <f>$C$140*'19 General Wages'!T14</f>
        <v>2082.2571749809804</v>
      </c>
    </row>
    <row r="153" spans="1:17" ht="21" customHeight="1" x14ac:dyDescent="0.25">
      <c r="A153" s="1066" t="s">
        <v>32</v>
      </c>
      <c r="B153" s="1067">
        <f t="shared" ref="B153:E162" si="20">$B$166</f>
        <v>110</v>
      </c>
      <c r="C153" s="1067">
        <f t="shared" si="20"/>
        <v>110</v>
      </c>
      <c r="D153" s="1067">
        <f t="shared" si="20"/>
        <v>110</v>
      </c>
      <c r="E153" s="1067">
        <f t="shared" si="20"/>
        <v>110</v>
      </c>
      <c r="L153" s="289" t="s">
        <v>27</v>
      </c>
      <c r="M153" s="618">
        <f>$C$143*'19 General Wages'!T15</f>
        <v>677.23168597852396</v>
      </c>
      <c r="N153" s="618">
        <f>$C$140*'19 General Wages'!T15</f>
        <v>2212.2901741965115</v>
      </c>
      <c r="O153" s="618">
        <f>$C$143*'19 General Wages'!T15</f>
        <v>677.23168597852396</v>
      </c>
      <c r="P153" s="644">
        <f>$C$140*'19 General Wages'!T15</f>
        <v>2212.2901741965115</v>
      </c>
    </row>
    <row r="154" spans="1:17" ht="21" customHeight="1" x14ac:dyDescent="0.25">
      <c r="A154" s="1066" t="s">
        <v>60</v>
      </c>
      <c r="B154" s="1067">
        <f t="shared" si="20"/>
        <v>110</v>
      </c>
      <c r="C154" s="1067">
        <f t="shared" si="20"/>
        <v>110</v>
      </c>
      <c r="D154" s="1067">
        <f t="shared" si="20"/>
        <v>110</v>
      </c>
      <c r="E154" s="1067">
        <f t="shared" si="20"/>
        <v>110</v>
      </c>
      <c r="L154" s="289" t="s">
        <v>25</v>
      </c>
      <c r="M154" s="618">
        <f>$C$143*'19 General Wages'!T16</f>
        <v>717.1396423641097</v>
      </c>
      <c r="N154" s="618">
        <f>$C$140*'19 General Wages'!T16</f>
        <v>2342.6561650560916</v>
      </c>
      <c r="O154" s="618">
        <f>$C$143*'19 General Wages'!T16</f>
        <v>717.1396423641097</v>
      </c>
      <c r="P154" s="644">
        <f>$C$140*'19 General Wages'!T16</f>
        <v>2342.6561650560916</v>
      </c>
    </row>
    <row r="155" spans="1:17" ht="21" customHeight="1" x14ac:dyDescent="0.25">
      <c r="A155" s="1066" t="s">
        <v>34</v>
      </c>
      <c r="B155" s="1067">
        <f t="shared" si="20"/>
        <v>110</v>
      </c>
      <c r="C155" s="1067">
        <f t="shared" si="20"/>
        <v>110</v>
      </c>
      <c r="D155" s="1067">
        <f t="shared" si="20"/>
        <v>110</v>
      </c>
      <c r="E155" s="1067">
        <f t="shared" si="20"/>
        <v>110</v>
      </c>
      <c r="L155" s="289" t="s">
        <v>23</v>
      </c>
      <c r="M155" s="618">
        <f>$C$143*'19 General Wages'!T17</f>
        <v>881.59450987061439</v>
      </c>
      <c r="N155" s="618">
        <f>$C$140*'19 General Wages'!T17</f>
        <v>2879.8753989106735</v>
      </c>
      <c r="O155" s="618">
        <f>$C$143*'19 General Wages'!T17</f>
        <v>881.59450987061439</v>
      </c>
      <c r="P155" s="644">
        <f>$C$140*'19 General Wages'!T17</f>
        <v>2879.8753989106735</v>
      </c>
    </row>
    <row r="156" spans="1:17" ht="21" customHeight="1" thickBot="1" x14ac:dyDescent="0.3">
      <c r="A156" s="1066" t="s">
        <v>20</v>
      </c>
      <c r="B156" s="1067">
        <f t="shared" si="20"/>
        <v>110</v>
      </c>
      <c r="C156" s="1067">
        <f t="shared" si="20"/>
        <v>110</v>
      </c>
      <c r="D156" s="1067">
        <f t="shared" si="20"/>
        <v>110</v>
      </c>
      <c r="E156" s="1067">
        <f t="shared" si="20"/>
        <v>110</v>
      </c>
      <c r="L156" s="957" t="s">
        <v>151</v>
      </c>
      <c r="M156" s="646">
        <f>$C$143*'19 General Wages'!T18</f>
        <v>750</v>
      </c>
      <c r="N156" s="646">
        <f>$C$140*'19 General Wages'!T18</f>
        <v>2450</v>
      </c>
      <c r="O156" s="646">
        <f>$C$143*'19 General Wages'!T18</f>
        <v>750</v>
      </c>
      <c r="P156" s="647">
        <f>$C$140*'19 General Wages'!T18</f>
        <v>2450</v>
      </c>
    </row>
    <row r="157" spans="1:17" ht="21" customHeight="1" x14ac:dyDescent="0.25">
      <c r="A157" s="1066" t="s">
        <v>27</v>
      </c>
      <c r="B157" s="1067">
        <f t="shared" si="20"/>
        <v>110</v>
      </c>
      <c r="C157" s="1067">
        <f t="shared" si="20"/>
        <v>110</v>
      </c>
      <c r="D157" s="1067">
        <f t="shared" si="20"/>
        <v>110</v>
      </c>
      <c r="E157" s="1067">
        <f t="shared" si="20"/>
        <v>110</v>
      </c>
    </row>
    <row r="158" spans="1:17" ht="21" customHeight="1" thickBot="1" x14ac:dyDescent="0.3">
      <c r="A158" s="1066" t="s">
        <v>41</v>
      </c>
      <c r="B158" s="1067">
        <f t="shared" si="20"/>
        <v>110</v>
      </c>
      <c r="C158" s="1067">
        <f t="shared" si="20"/>
        <v>110</v>
      </c>
      <c r="D158" s="1067">
        <f t="shared" si="20"/>
        <v>110</v>
      </c>
      <c r="E158" s="1067">
        <f t="shared" si="20"/>
        <v>110</v>
      </c>
    </row>
    <row r="159" spans="1:17" ht="21" customHeight="1" x14ac:dyDescent="0.3">
      <c r="A159" s="1066" t="s">
        <v>44</v>
      </c>
      <c r="B159" s="1067">
        <f t="shared" si="20"/>
        <v>110</v>
      </c>
      <c r="C159" s="1067">
        <f t="shared" si="20"/>
        <v>110</v>
      </c>
      <c r="D159" s="1067">
        <f t="shared" si="20"/>
        <v>110</v>
      </c>
      <c r="E159" s="1067">
        <f t="shared" si="20"/>
        <v>110</v>
      </c>
      <c r="J159" s="1237" t="s">
        <v>1359</v>
      </c>
      <c r="K159" s="1238"/>
      <c r="L159" s="1238"/>
      <c r="M159" s="1239"/>
      <c r="N159" s="87"/>
    </row>
    <row r="160" spans="1:17" ht="21" customHeight="1" x14ac:dyDescent="0.3">
      <c r="A160" s="1066" t="s">
        <v>25</v>
      </c>
      <c r="B160" s="1067">
        <f t="shared" si="20"/>
        <v>110</v>
      </c>
      <c r="C160" s="1067">
        <f t="shared" si="20"/>
        <v>110</v>
      </c>
      <c r="D160" s="1067">
        <f t="shared" si="20"/>
        <v>110</v>
      </c>
      <c r="E160" s="1067">
        <f t="shared" si="20"/>
        <v>110</v>
      </c>
      <c r="J160" s="1235" t="s">
        <v>1150</v>
      </c>
      <c r="K160" s="1236"/>
      <c r="L160" s="718" t="s">
        <v>353</v>
      </c>
      <c r="M160" s="719" t="s">
        <v>150</v>
      </c>
      <c r="N160" s="97" t="s">
        <v>354</v>
      </c>
    </row>
    <row r="161" spans="1:14" ht="21" customHeight="1" x14ac:dyDescent="0.25">
      <c r="A161" s="1066" t="s">
        <v>23</v>
      </c>
      <c r="B161" s="1067">
        <f t="shared" si="20"/>
        <v>110</v>
      </c>
      <c r="C161" s="1067">
        <f t="shared" si="20"/>
        <v>110</v>
      </c>
      <c r="D161" s="1067">
        <f t="shared" si="20"/>
        <v>110</v>
      </c>
      <c r="E161" s="1067">
        <f t="shared" si="20"/>
        <v>110</v>
      </c>
      <c r="J161" s="1261" t="s">
        <v>1354</v>
      </c>
      <c r="K161" s="973"/>
      <c r="L161" s="974">
        <f>50</f>
        <v>50</v>
      </c>
      <c r="M161" s="975" t="s">
        <v>154</v>
      </c>
      <c r="N161" s="543" t="s">
        <v>153</v>
      </c>
    </row>
    <row r="162" spans="1:14" ht="21" customHeight="1" x14ac:dyDescent="0.3">
      <c r="A162" s="1066" t="s">
        <v>151</v>
      </c>
      <c r="B162" s="1067">
        <f t="shared" si="20"/>
        <v>110</v>
      </c>
      <c r="C162" s="1067">
        <f t="shared" si="20"/>
        <v>110</v>
      </c>
      <c r="D162" s="1067">
        <f t="shared" si="20"/>
        <v>110</v>
      </c>
      <c r="E162" s="1067">
        <f t="shared" si="20"/>
        <v>110</v>
      </c>
      <c r="J162" s="1262"/>
      <c r="K162" s="976"/>
      <c r="L162" s="974">
        <f>50</f>
        <v>50</v>
      </c>
      <c r="M162" s="975" t="s">
        <v>155</v>
      </c>
      <c r="N162" s="96"/>
    </row>
    <row r="163" spans="1:14" ht="21" customHeight="1" x14ac:dyDescent="0.25">
      <c r="A163" s="972" t="s">
        <v>807</v>
      </c>
      <c r="B163" s="511"/>
      <c r="J163" s="1262"/>
      <c r="K163" s="976"/>
      <c r="L163" s="974">
        <f>80</f>
        <v>80</v>
      </c>
      <c r="M163" s="975" t="s">
        <v>156</v>
      </c>
      <c r="N163" s="1251" t="s">
        <v>1451</v>
      </c>
    </row>
    <row r="164" spans="1:14" ht="40.9" customHeight="1" thickBot="1" x14ac:dyDescent="0.3">
      <c r="A164" s="908" t="s">
        <v>481</v>
      </c>
      <c r="B164" s="909" t="s">
        <v>487</v>
      </c>
      <c r="J164" s="1263"/>
      <c r="K164" s="977"/>
      <c r="L164" s="978">
        <f>50</f>
        <v>50</v>
      </c>
      <c r="M164" s="979" t="s">
        <v>157</v>
      </c>
      <c r="N164" s="1251"/>
    </row>
    <row r="165" spans="1:14" ht="36" customHeight="1" x14ac:dyDescent="0.25">
      <c r="A165" s="908" t="s">
        <v>486</v>
      </c>
      <c r="B165" s="909" t="s">
        <v>488</v>
      </c>
      <c r="K165" s="20"/>
      <c r="L165" s="286"/>
      <c r="M165" s="285"/>
    </row>
    <row r="166" spans="1:14" ht="21" customHeight="1" x14ac:dyDescent="0.25">
      <c r="A166" s="970" t="s">
        <v>239</v>
      </c>
      <c r="B166" s="971">
        <f>AVERAGE(30,160,50,200)</f>
        <v>110</v>
      </c>
      <c r="K166" s="20"/>
      <c r="L166" s="286"/>
      <c r="M166" s="285"/>
    </row>
    <row r="167" spans="1:14" x14ac:dyDescent="0.25">
      <c r="A167" s="329"/>
      <c r="E167" s="32"/>
      <c r="K167" s="20"/>
      <c r="L167" s="286"/>
      <c r="M167" s="285"/>
    </row>
    <row r="168" spans="1:14" x14ac:dyDescent="0.25">
      <c r="A168" s="329"/>
      <c r="L168" s="286"/>
      <c r="M168" s="285"/>
    </row>
    <row r="170" spans="1:14" x14ac:dyDescent="0.25">
      <c r="A170" s="20"/>
    </row>
    <row r="171" spans="1:14" x14ac:dyDescent="0.25">
      <c r="A171" s="50"/>
    </row>
    <row r="172" spans="1:14" x14ac:dyDescent="0.25">
      <c r="A172" s="50"/>
      <c r="B172" s="20"/>
    </row>
    <row r="173" spans="1:14" x14ac:dyDescent="0.25">
      <c r="A173" s="50"/>
      <c r="B173" s="21"/>
    </row>
    <row r="174" spans="1:14" x14ac:dyDescent="0.25">
      <c r="A174" s="328"/>
    </row>
    <row r="175" spans="1:14" x14ac:dyDescent="0.25">
      <c r="A175" s="20"/>
      <c r="B175" s="21"/>
    </row>
    <row r="176" spans="1:14" x14ac:dyDescent="0.25">
      <c r="A176" s="20"/>
      <c r="B176" s="20"/>
    </row>
    <row r="177" spans="1:5" x14ac:dyDescent="0.25">
      <c r="A177" s="39"/>
      <c r="D177" s="4"/>
      <c r="E177" s="4"/>
    </row>
    <row r="178" spans="1:5" ht="18.75" x14ac:dyDescent="0.25">
      <c r="A178" s="4"/>
      <c r="B178" s="4"/>
      <c r="C178" s="4"/>
      <c r="D178" s="103"/>
      <c r="E178" s="22"/>
    </row>
    <row r="179" spans="1:5" ht="18.75" x14ac:dyDescent="0.25">
      <c r="A179" s="103"/>
      <c r="B179" s="90"/>
      <c r="C179" s="90"/>
      <c r="D179" s="106"/>
      <c r="E179" s="321"/>
    </row>
    <row r="180" spans="1:5" ht="18.75" x14ac:dyDescent="0.25">
      <c r="A180" s="103"/>
      <c r="B180" s="90"/>
      <c r="C180" s="90"/>
      <c r="D180" s="103"/>
      <c r="E180" s="22"/>
    </row>
    <row r="181" spans="1:5" ht="18.75" x14ac:dyDescent="0.25">
      <c r="A181" s="103"/>
      <c r="B181" s="90"/>
      <c r="C181" s="90"/>
      <c r="D181" s="106"/>
      <c r="E181" s="321"/>
    </row>
    <row r="182" spans="1:5" ht="18.75" x14ac:dyDescent="0.25">
      <c r="A182" s="90"/>
      <c r="B182" s="90"/>
      <c r="C182" s="90"/>
      <c r="D182" s="103"/>
      <c r="E182" s="22"/>
    </row>
    <row r="183" spans="1:5" ht="18.75" x14ac:dyDescent="0.3">
      <c r="A183" s="104"/>
      <c r="B183" s="90"/>
      <c r="C183" s="90"/>
      <c r="D183" s="101"/>
      <c r="E183" s="21"/>
    </row>
    <row r="184" spans="1:5" ht="18.75" x14ac:dyDescent="0.3">
      <c r="A184" s="104"/>
      <c r="B184" s="87"/>
      <c r="C184" s="87"/>
      <c r="D184" s="87"/>
    </row>
    <row r="185" spans="1:5" ht="18.75" x14ac:dyDescent="0.3">
      <c r="A185" s="87"/>
      <c r="B185" s="87"/>
      <c r="C185" s="87"/>
      <c r="D185" s="87"/>
    </row>
    <row r="186" spans="1:5" ht="18.75" x14ac:dyDescent="0.3">
      <c r="A186" s="104"/>
      <c r="B186" s="87"/>
      <c r="C186" s="87"/>
      <c r="D186" s="87"/>
    </row>
    <row r="187" spans="1:5" ht="18.75" x14ac:dyDescent="0.3">
      <c r="A187" s="104"/>
      <c r="B187" s="87"/>
      <c r="C187" s="290"/>
      <c r="D187" s="87"/>
    </row>
    <row r="188" spans="1:5" ht="18.75" x14ac:dyDescent="0.3">
      <c r="A188" s="87"/>
      <c r="B188" s="87"/>
      <c r="C188" s="95"/>
    </row>
    <row r="203" spans="1:1" x14ac:dyDescent="0.25">
      <c r="A203" s="39"/>
    </row>
    <row r="204" spans="1:1" x14ac:dyDescent="0.25">
      <c r="A204" s="39"/>
    </row>
    <row r="207" spans="1:1" x14ac:dyDescent="0.25">
      <c r="A207" s="14"/>
    </row>
    <row r="212" spans="1:1" x14ac:dyDescent="0.25">
      <c r="A212" s="39"/>
    </row>
    <row r="213" spans="1:1" x14ac:dyDescent="0.25">
      <c r="A213" s="39"/>
    </row>
    <row r="215" spans="1:1" x14ac:dyDescent="0.25">
      <c r="A215" s="20"/>
    </row>
    <row r="216" spans="1:1" x14ac:dyDescent="0.25">
      <c r="A216" s="14"/>
    </row>
    <row r="217" spans="1:1" x14ac:dyDescent="0.25">
      <c r="A217" s="15"/>
    </row>
    <row r="218" spans="1:1" x14ac:dyDescent="0.25">
      <c r="A218" s="14"/>
    </row>
    <row r="219" spans="1:1" x14ac:dyDescent="0.25">
      <c r="A219" s="15"/>
    </row>
    <row r="220" spans="1:1" x14ac:dyDescent="0.25">
      <c r="A220" s="14"/>
    </row>
    <row r="221" spans="1:1" x14ac:dyDescent="0.25">
      <c r="A221" s="15"/>
    </row>
  </sheetData>
  <mergeCells count="125">
    <mergeCell ref="J161:J164"/>
    <mergeCell ref="D57:G57"/>
    <mergeCell ref="D58:G58"/>
    <mergeCell ref="A1:C1"/>
    <mergeCell ref="D1:E1"/>
    <mergeCell ref="P1:P3"/>
    <mergeCell ref="E4:F4"/>
    <mergeCell ref="E5:F5"/>
    <mergeCell ref="O31:O32"/>
    <mergeCell ref="P31:P32"/>
    <mergeCell ref="L18:R18"/>
    <mergeCell ref="L19:M21"/>
    <mergeCell ref="N19:R19"/>
    <mergeCell ref="N20:N21"/>
    <mergeCell ref="O20:O21"/>
    <mergeCell ref="P20:P21"/>
    <mergeCell ref="Q20:Q21"/>
    <mergeCell ref="A18:B18"/>
    <mergeCell ref="A22:B22"/>
    <mergeCell ref="B7:C7"/>
    <mergeCell ref="A11:B12"/>
    <mergeCell ref="A15:B17"/>
    <mergeCell ref="C15:C17"/>
    <mergeCell ref="A13:B14"/>
    <mergeCell ref="D6:J6"/>
    <mergeCell ref="D29:J29"/>
    <mergeCell ref="V31:V32"/>
    <mergeCell ref="W31:W32"/>
    <mergeCell ref="L145:P145"/>
    <mergeCell ref="N163:N164"/>
    <mergeCell ref="Q41:U41"/>
    <mergeCell ref="I41:P41"/>
    <mergeCell ref="A66:J66"/>
    <mergeCell ref="A70:J70"/>
    <mergeCell ref="A130:J130"/>
    <mergeCell ref="A121:J121"/>
    <mergeCell ref="L101:O101"/>
    <mergeCell ref="L117:P117"/>
    <mergeCell ref="A111:J111"/>
    <mergeCell ref="E41:H41"/>
    <mergeCell ref="A74:J74"/>
    <mergeCell ref="A117:J117"/>
    <mergeCell ref="A59:A61"/>
    <mergeCell ref="A104:J104"/>
    <mergeCell ref="A93:J93"/>
    <mergeCell ref="A84:J84"/>
    <mergeCell ref="A62:J62"/>
    <mergeCell ref="D56:H56"/>
    <mergeCell ref="D60:D61"/>
    <mergeCell ref="D22:D26"/>
    <mergeCell ref="F30:J30"/>
    <mergeCell ref="F31:F32"/>
    <mergeCell ref="G31:G32"/>
    <mergeCell ref="H31:H32"/>
    <mergeCell ref="I31:I32"/>
    <mergeCell ref="J31:J32"/>
    <mergeCell ref="L131:P131"/>
    <mergeCell ref="L102:O102"/>
    <mergeCell ref="D40:AE40"/>
    <mergeCell ref="V41:Z41"/>
    <mergeCell ref="AA41:AE41"/>
    <mergeCell ref="L30:M32"/>
    <mergeCell ref="N30:R30"/>
    <mergeCell ref="N31:N32"/>
    <mergeCell ref="Q31:Q32"/>
    <mergeCell ref="R31:R32"/>
    <mergeCell ref="L33:L37"/>
    <mergeCell ref="Y31:Y32"/>
    <mergeCell ref="Z31:Z32"/>
    <mergeCell ref="T33:T37"/>
    <mergeCell ref="T30:U32"/>
    <mergeCell ref="V30:Z30"/>
    <mergeCell ref="D30:E32"/>
    <mergeCell ref="F19:J19"/>
    <mergeCell ref="F20:F21"/>
    <mergeCell ref="G20:G21"/>
    <mergeCell ref="H20:H21"/>
    <mergeCell ref="I20:I21"/>
    <mergeCell ref="J20:J21"/>
    <mergeCell ref="T22:T26"/>
    <mergeCell ref="T29:Z29"/>
    <mergeCell ref="R20:R21"/>
    <mergeCell ref="L22:L26"/>
    <mergeCell ref="L29:R29"/>
    <mergeCell ref="D10:D14"/>
    <mergeCell ref="D7:E9"/>
    <mergeCell ref="F7:J7"/>
    <mergeCell ref="F8:F9"/>
    <mergeCell ref="G8:G9"/>
    <mergeCell ref="H8:H9"/>
    <mergeCell ref="I8:I9"/>
    <mergeCell ref="J8:J9"/>
    <mergeCell ref="T10:T14"/>
    <mergeCell ref="L10:L14"/>
    <mergeCell ref="L7:M9"/>
    <mergeCell ref="N7:R7"/>
    <mergeCell ref="N8:N9"/>
    <mergeCell ref="O8:O9"/>
    <mergeCell ref="P8:P9"/>
    <mergeCell ref="Q8:Q9"/>
    <mergeCell ref="R8:R9"/>
    <mergeCell ref="A148:E148"/>
    <mergeCell ref="J160:K160"/>
    <mergeCell ref="J159:M159"/>
    <mergeCell ref="T6:Z6"/>
    <mergeCell ref="T7:U9"/>
    <mergeCell ref="V7:Z7"/>
    <mergeCell ref="V8:V9"/>
    <mergeCell ref="W8:W9"/>
    <mergeCell ref="X8:X9"/>
    <mergeCell ref="L6:R6"/>
    <mergeCell ref="Z8:Z9"/>
    <mergeCell ref="Y8:Y9"/>
    <mergeCell ref="D18:J18"/>
    <mergeCell ref="X31:X32"/>
    <mergeCell ref="D33:D37"/>
    <mergeCell ref="T18:Z18"/>
    <mergeCell ref="T19:U21"/>
    <mergeCell ref="V19:Z19"/>
    <mergeCell ref="V20:V21"/>
    <mergeCell ref="W20:W21"/>
    <mergeCell ref="X20:X21"/>
    <mergeCell ref="Y20:Y21"/>
    <mergeCell ref="Z20:Z21"/>
    <mergeCell ref="D19:E21"/>
  </mergeCells>
  <conditionalFormatting sqref="B64">
    <cfRule type="expression" dxfId="6" priority="1">
      <formula>_xlfn.ISFORMULA(U60:XFD233)</formula>
    </cfRule>
  </conditionalFormatting>
  <conditionalFormatting sqref="N74 M75 P75:S75">
    <cfRule type="expression" dxfId="5" priority="2">
      <formula>"ISFORMULA"</formula>
    </cfRule>
  </conditionalFormatting>
  <hyperlinks>
    <hyperlink ref="B6" location="'25 Markup Notes'!A1" display="Assumes No Taxes on Markup Click Here for Notes" xr:uid="{3FB2A3DF-A787-41FE-83BF-9001DE86FCFA}"/>
    <hyperlink ref="B64" location="'14 Space Heating Detailed Costs'!B31" display="120V Costs Detailed Here  " xr:uid="{D2F03F4C-8AEC-4972-B0CE-BF423AF6A28F}"/>
    <hyperlink ref="B68" location="'14 Space Heating Detailed Costs'!B40" display="240V Costs Detailed Here" xr:uid="{6B182E5B-44F7-4DB6-A4BE-ABDE1075DD35}"/>
    <hyperlink ref="I107" r:id="rId1" xr:uid="{8BD86414-726D-42D0-824E-A7D18B6E00C2}"/>
    <hyperlink ref="A110" r:id="rId2" xr:uid="{A01D03B1-7AFA-411F-A121-B64D986FECBE}"/>
    <hyperlink ref="N161" r:id="rId3" xr:uid="{C5EDB850-C46F-4C17-ADBC-8ED4350EF180}"/>
    <hyperlink ref="D119" location="'14 Space Heating Detailed Costs'!B98" display="Find Detailed Fuel Line Costs Here" xr:uid="{EBD314B0-F7EF-4DC1-AAFF-87CC8A5E17F5}"/>
    <hyperlink ref="I106" r:id="rId4" xr:uid="{3653280F-871F-4D95-AA48-17440CA28C88}"/>
    <hyperlink ref="A165" r:id="rId5" xr:uid="{ED225915-13C8-41AF-8391-963805DCC524}"/>
    <hyperlink ref="A164" r:id="rId6" xr:uid="{BAF34EAC-39C2-4E10-B387-5A9E6C9B832E}"/>
    <hyperlink ref="I132" r:id="rId7" xr:uid="{E4EA1E8B-2752-4FF1-9D64-365D550D6036}"/>
    <hyperlink ref="I123" r:id="rId8" xr:uid="{CABC67C4-4A75-4827-98F1-F2FED777E9B4}"/>
    <hyperlink ref="A127" r:id="rId9" xr:uid="{36522661-7454-4242-A0A1-C9F1B91679D9}"/>
    <hyperlink ref="A126" r:id="rId10" xr:uid="{6BC2DD3B-6445-4F99-A7B0-1CCE0145D667}"/>
    <hyperlink ref="I110" r:id="rId11" xr:uid="{ECB5CFD9-27C6-4AF8-B835-704A06629EAD}"/>
    <hyperlink ref="I144" r:id="rId12" xr:uid="{63F09588-7643-485E-BE43-A3FC7BB8A1A8}"/>
    <hyperlink ref="I143" r:id="rId13" xr:uid="{D93CD5B8-CB69-4F04-82DC-C6EC908E711E}"/>
    <hyperlink ref="D113" location="'14 Space Heating Detailed Costs'!B98" display="Oil Line Costs Detailed Here " xr:uid="{06A9746A-0AFF-4A9E-8121-71EC87740BEC}"/>
    <hyperlink ref="I77" r:id="rId14" xr:uid="{2593C2D7-3EC0-47DC-A1A1-232FC8B02682}"/>
    <hyperlink ref="I87" r:id="rId15" xr:uid="{324DAA4E-45EF-4523-A585-4105FC565CC3}"/>
    <hyperlink ref="I97" r:id="rId16" xr:uid="{CAED8A44-FDA9-49F5-82DF-751491B706FE}"/>
    <hyperlink ref="C15" r:id="rId17" xr:uid="{FE0FC58A-BC7C-4778-8945-913ECBC5DEF6}"/>
    <hyperlink ref="C22" r:id="rId18" xr:uid="{2DDB95C7-9697-4215-866E-F9D855F94FA4}"/>
    <hyperlink ref="I72" r:id="rId19" xr:uid="{87A997D4-E167-43B9-9AA8-B1240A70873E}"/>
    <hyperlink ref="M106:O112" location="'16 Water Heating Costs'!L114" display="*" xr:uid="{0FE2B432-49F9-4C56-A830-526F11A9484A}"/>
  </hyperlinks>
  <pageMargins left="0.7" right="0.7" top="0.75" bottom="0.75" header="0.3" footer="0.3"/>
  <pageSetup orientation="portrait" r:id="rId20"/>
  <ignoredErrors>
    <ignoredError sqref="N119:N128" formula="1"/>
  </ignoredErrors>
  <drawing r:id="rId2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07B37-1C5A-4471-B170-BEC124A971D1}">
  <sheetPr codeName="Sheet12">
    <tabColor theme="5" tint="-0.249977111117893"/>
  </sheetPr>
  <dimension ref="A1:S76"/>
  <sheetViews>
    <sheetView zoomScale="85" zoomScaleNormal="85" workbookViewId="0">
      <selection sqref="A1:D1"/>
    </sheetView>
  </sheetViews>
  <sheetFormatPr defaultColWidth="9.140625" defaultRowHeight="15" x14ac:dyDescent="0.25"/>
  <cols>
    <col min="1" max="1" width="23.85546875" style="5" customWidth="1"/>
    <col min="2" max="2" width="17.85546875" style="5" customWidth="1"/>
    <col min="3" max="3" width="13" style="5" customWidth="1"/>
    <col min="4" max="4" width="25" style="5" customWidth="1"/>
    <col min="5" max="5" width="27.28515625" style="5" customWidth="1"/>
    <col min="6" max="6" width="29" style="5" customWidth="1"/>
    <col min="7" max="9" width="26.7109375" style="5" customWidth="1"/>
    <col min="10" max="10" width="26.42578125" style="5" customWidth="1"/>
    <col min="11" max="11" width="42.42578125" style="5" customWidth="1"/>
    <col min="12" max="12" width="28" style="5" customWidth="1"/>
    <col min="13" max="13" width="23.85546875" style="5" customWidth="1"/>
    <col min="14" max="14" width="25" style="5" customWidth="1"/>
    <col min="15" max="15" width="21.7109375" style="5" customWidth="1"/>
    <col min="16" max="16" width="31.85546875" style="5" customWidth="1"/>
    <col min="17" max="17" width="19.42578125" style="5" customWidth="1"/>
    <col min="18" max="18" width="17.28515625" style="5" customWidth="1"/>
    <col min="19" max="19" width="16.5703125" style="5" customWidth="1"/>
    <col min="20" max="16384" width="9.140625" style="5"/>
  </cols>
  <sheetData>
    <row r="1" spans="1:19" ht="119.25" customHeight="1" x14ac:dyDescent="0.25">
      <c r="A1" s="1264" t="s">
        <v>549</v>
      </c>
      <c r="B1" s="1264"/>
      <c r="C1" s="1264"/>
      <c r="D1" s="1264"/>
      <c r="E1" s="1265" t="s">
        <v>1491</v>
      </c>
      <c r="F1" s="1265"/>
      <c r="G1" s="1265"/>
      <c r="H1" s="1265"/>
      <c r="I1" s="1265"/>
      <c r="J1" s="1265"/>
      <c r="K1" s="781"/>
      <c r="L1" s="781"/>
      <c r="M1" s="781"/>
      <c r="N1" s="781"/>
      <c r="P1" s="1172" t="s">
        <v>516</v>
      </c>
      <c r="Q1" s="57"/>
    </row>
    <row r="2" spans="1:19" x14ac:dyDescent="0.25">
      <c r="P2" s="1173"/>
      <c r="Q2" s="57"/>
    </row>
    <row r="3" spans="1:19" x14ac:dyDescent="0.25">
      <c r="P3" s="1174"/>
      <c r="Q3" s="57"/>
    </row>
    <row r="4" spans="1:19" ht="17.45" customHeight="1" x14ac:dyDescent="0.3">
      <c r="F4" s="430" t="s">
        <v>255</v>
      </c>
      <c r="G4" s="430"/>
      <c r="H4" s="87"/>
      <c r="I4" s="87"/>
      <c r="J4" s="87"/>
    </row>
    <row r="5" spans="1:19" ht="16.149999999999999" customHeight="1" x14ac:dyDescent="0.25">
      <c r="F5" s="431"/>
      <c r="G5" s="1280" t="s">
        <v>940</v>
      </c>
      <c r="H5" s="1281"/>
      <c r="I5" s="1281"/>
      <c r="J5" s="1282"/>
    </row>
    <row r="6" spans="1:19" ht="15.6" customHeight="1" x14ac:dyDescent="0.3">
      <c r="F6" s="428"/>
      <c r="G6" s="116"/>
      <c r="H6" s="116"/>
      <c r="I6" s="116"/>
      <c r="J6" s="116"/>
    </row>
    <row r="7" spans="1:19" ht="15" customHeight="1" x14ac:dyDescent="0.25">
      <c r="F7" s="429"/>
      <c r="G7" s="116"/>
      <c r="H7" s="116"/>
      <c r="I7" s="116"/>
      <c r="J7" s="116"/>
    </row>
    <row r="8" spans="1:19" ht="15" customHeight="1" x14ac:dyDescent="0.25">
      <c r="F8" s="429"/>
      <c r="G8" s="116"/>
      <c r="H8" s="116"/>
      <c r="I8" s="116"/>
      <c r="J8" s="116"/>
    </row>
    <row r="9" spans="1:19" ht="87" customHeight="1" thickBot="1" x14ac:dyDescent="0.3"/>
    <row r="10" spans="1:19" ht="106.5" customHeight="1" x14ac:dyDescent="0.25">
      <c r="B10" s="167" t="s">
        <v>137</v>
      </c>
      <c r="F10" s="1277" t="s">
        <v>1193</v>
      </c>
      <c r="G10" s="1278"/>
      <c r="H10" s="1278"/>
      <c r="I10" s="1279"/>
      <c r="J10" s="648" t="s">
        <v>1550</v>
      </c>
      <c r="K10" s="649" t="s">
        <v>626</v>
      </c>
      <c r="L10" s="565"/>
      <c r="M10" s="398"/>
      <c r="N10" s="398"/>
      <c r="P10" s="326"/>
      <c r="Q10" s="326"/>
      <c r="R10" s="326"/>
      <c r="S10" s="326"/>
    </row>
    <row r="11" spans="1:19" ht="88.5" customHeight="1" x14ac:dyDescent="0.25">
      <c r="B11" s="1273" t="s">
        <v>138</v>
      </c>
      <c r="C11" s="1274"/>
      <c r="F11" s="701" t="s">
        <v>625</v>
      </c>
      <c r="G11" s="486" t="s">
        <v>246</v>
      </c>
      <c r="H11" s="486" t="s">
        <v>242</v>
      </c>
      <c r="I11" s="487" t="s">
        <v>86</v>
      </c>
      <c r="J11" s="81" t="s">
        <v>1551</v>
      </c>
      <c r="K11" s="649" t="s">
        <v>629</v>
      </c>
      <c r="L11" s="323"/>
      <c r="M11" s="323"/>
      <c r="N11" s="323"/>
      <c r="P11" s="322"/>
      <c r="Q11" s="323"/>
      <c r="R11" s="323"/>
      <c r="S11" s="323"/>
    </row>
    <row r="12" spans="1:19" ht="92.25" customHeight="1" x14ac:dyDescent="0.25">
      <c r="B12" s="791" t="s">
        <v>6</v>
      </c>
      <c r="C12" s="567">
        <f>'25 Markup Notes'!C14</f>
        <v>0.25</v>
      </c>
      <c r="F12" s="702" t="s">
        <v>246</v>
      </c>
      <c r="G12" s="432"/>
      <c r="H12" s="51" t="s">
        <v>1170</v>
      </c>
      <c r="I12" s="292" t="s">
        <v>1171</v>
      </c>
      <c r="J12" s="1093" t="s">
        <v>1552</v>
      </c>
      <c r="K12" s="1093"/>
      <c r="L12" s="648" t="s">
        <v>630</v>
      </c>
      <c r="M12" s="3"/>
      <c r="N12" s="3"/>
      <c r="P12" s="323"/>
      <c r="Q12" s="324"/>
      <c r="R12" s="325"/>
      <c r="S12" s="325"/>
    </row>
    <row r="13" spans="1:19" ht="99.75" customHeight="1" x14ac:dyDescent="0.25">
      <c r="B13" s="792" t="s">
        <v>7</v>
      </c>
      <c r="C13" s="568">
        <f>'25 Markup Notes'!C15</f>
        <v>0.35</v>
      </c>
      <c r="F13" s="702" t="s">
        <v>242</v>
      </c>
      <c r="G13" s="331" t="s">
        <v>1149</v>
      </c>
      <c r="H13" s="432"/>
      <c r="I13" s="332" t="s">
        <v>1148</v>
      </c>
      <c r="J13" s="81" t="s">
        <v>1371</v>
      </c>
      <c r="K13" s="322"/>
      <c r="L13" s="3"/>
      <c r="M13" s="25"/>
      <c r="N13" s="3"/>
      <c r="P13" s="323"/>
      <c r="Q13" s="325"/>
      <c r="R13" s="324"/>
      <c r="S13" s="325"/>
    </row>
    <row r="14" spans="1:19" ht="86.25" customHeight="1" thickBot="1" x14ac:dyDescent="0.3">
      <c r="F14" s="703" t="s">
        <v>86</v>
      </c>
      <c r="G14" s="333" t="s">
        <v>1147</v>
      </c>
      <c r="H14" s="333" t="s">
        <v>1160</v>
      </c>
      <c r="I14" s="433"/>
      <c r="J14" s="566" t="s">
        <v>1372</v>
      </c>
      <c r="K14" s="322"/>
      <c r="L14" s="399"/>
      <c r="M14" s="399"/>
      <c r="N14" s="25"/>
      <c r="P14" s="323"/>
      <c r="Q14" s="325"/>
      <c r="R14" s="325"/>
      <c r="S14" s="325"/>
    </row>
    <row r="15" spans="1:19" ht="90" x14ac:dyDescent="0.25">
      <c r="J15" s="32" t="s">
        <v>1538</v>
      </c>
    </row>
    <row r="16" spans="1:19" ht="15.75" thickBot="1" x14ac:dyDescent="0.3"/>
    <row r="17" spans="1:16" ht="20.25" x14ac:dyDescent="0.3">
      <c r="A17" s="270"/>
      <c r="B17" s="270"/>
      <c r="D17" s="1246" t="s">
        <v>1366</v>
      </c>
      <c r="E17" s="1247"/>
      <c r="F17" s="1247"/>
      <c r="G17" s="1247"/>
      <c r="H17" s="1247"/>
      <c r="I17" s="1247"/>
      <c r="J17" s="1248"/>
      <c r="K17" s="270"/>
      <c r="L17" s="1284" t="s">
        <v>457</v>
      </c>
      <c r="M17" s="1285"/>
      <c r="N17" s="1285"/>
      <c r="O17" s="1286"/>
      <c r="P17" s="87"/>
    </row>
    <row r="18" spans="1:16" ht="17.45" customHeight="1" x14ac:dyDescent="0.3">
      <c r="A18" s="102"/>
      <c r="B18" s="102"/>
      <c r="D18" s="1070" t="s">
        <v>229</v>
      </c>
      <c r="E18" s="453" t="s">
        <v>1162</v>
      </c>
      <c r="F18" s="453" t="s">
        <v>1146</v>
      </c>
      <c r="G18" s="1071" t="s">
        <v>376</v>
      </c>
      <c r="H18" s="1071" t="s">
        <v>462</v>
      </c>
      <c r="I18" s="453" t="s">
        <v>158</v>
      </c>
      <c r="J18" s="706" t="s">
        <v>122</v>
      </c>
      <c r="L18" s="1235" t="s">
        <v>1150</v>
      </c>
      <c r="M18" s="1236"/>
      <c r="N18" s="718" t="s">
        <v>353</v>
      </c>
      <c r="O18" s="719" t="s">
        <v>150</v>
      </c>
    </row>
    <row r="19" spans="1:16" ht="15" customHeight="1" x14ac:dyDescent="0.25">
      <c r="A19" s="158"/>
      <c r="B19" s="269"/>
      <c r="C19" s="441"/>
      <c r="D19" s="967" t="s">
        <v>1367</v>
      </c>
      <c r="E19" s="591" t="s">
        <v>1157</v>
      </c>
      <c r="F19" s="591" t="s">
        <v>1157</v>
      </c>
      <c r="G19" s="731">
        <f>'14 Space Heating Detailed Costs'!F100</f>
        <v>4</v>
      </c>
      <c r="H19" s="829">
        <f>'16 Water Heating Costs'!E76</f>
        <v>4.3989153230658946</v>
      </c>
      <c r="I19" s="829">
        <f>'16 Water Heating Costs'!E76</f>
        <v>4.3989153230658946</v>
      </c>
      <c r="J19" s="911">
        <f>'14 Space Heating Detailed Costs'!F42</f>
        <v>11.897125943043891</v>
      </c>
      <c r="L19" s="1287" t="s">
        <v>1354</v>
      </c>
      <c r="M19" s="1288"/>
      <c r="N19" s="912">
        <f>50</f>
        <v>50</v>
      </c>
      <c r="O19" s="734" t="s">
        <v>154</v>
      </c>
      <c r="P19" s="1098" t="s">
        <v>1374</v>
      </c>
    </row>
    <row r="20" spans="1:16" ht="15" customHeight="1" x14ac:dyDescent="0.25">
      <c r="A20" s="569"/>
      <c r="B20" s="700"/>
      <c r="D20" s="967" t="s">
        <v>7</v>
      </c>
      <c r="E20" s="693" t="s">
        <v>1157</v>
      </c>
      <c r="F20" s="693" t="s">
        <v>1157</v>
      </c>
      <c r="G20" s="735">
        <f>'14 Space Heating Detailed Costs'!E100</f>
        <v>550</v>
      </c>
      <c r="H20" s="735">
        <f>'16 Water Heating Costs'!D76</f>
        <v>0</v>
      </c>
      <c r="I20" s="735">
        <f>'16 Water Heating Costs'!D76</f>
        <v>0</v>
      </c>
      <c r="J20" s="736">
        <f>'14 Space Heating Detailed Costs'!E42</f>
        <v>125.4</v>
      </c>
      <c r="L20" s="1287"/>
      <c r="M20" s="1288"/>
      <c r="N20" s="912">
        <f>80</f>
        <v>80</v>
      </c>
      <c r="O20" s="734" t="s">
        <v>156</v>
      </c>
      <c r="P20" s="1098"/>
    </row>
    <row r="21" spans="1:16" ht="15" customHeight="1" x14ac:dyDescent="0.25">
      <c r="A21" s="30"/>
      <c r="D21" s="967"/>
      <c r="E21" s="693"/>
      <c r="F21" s="693"/>
      <c r="G21" s="693"/>
      <c r="H21" s="693"/>
      <c r="I21" s="693"/>
      <c r="J21" s="696"/>
      <c r="L21" s="1287"/>
      <c r="M21" s="1288"/>
      <c r="N21" s="912">
        <f>50</f>
        <v>50</v>
      </c>
      <c r="O21" s="734" t="s">
        <v>157</v>
      </c>
      <c r="P21" s="1098"/>
    </row>
    <row r="22" spans="1:16" ht="15" customHeight="1" thickBot="1" x14ac:dyDescent="0.3">
      <c r="A22" s="1"/>
      <c r="D22" s="967" t="s">
        <v>32</v>
      </c>
      <c r="E22" s="735">
        <f>$N$20</f>
        <v>80</v>
      </c>
      <c r="F22" s="735">
        <f>$N$19</f>
        <v>50</v>
      </c>
      <c r="G22" s="735">
        <f>($G$19*'19 General Wages'!K9)*(1+'21 Sales Taxes'!G8+'19 General Wages'!L9)*(1+$C$12) + $G$20*(1+'21 Sales Taxes'!H8)*(1+$C$13)</f>
        <v>993.17869831704888</v>
      </c>
      <c r="H22" s="735">
        <f>($H$19*'19 General Wages'!I9)*(1+'21 Sales Taxes'!G8)*(1+$C$12) + $H$20*(1+'21 Sales Taxes'!H8)*(1+$C$13)</f>
        <v>207.16556731066424</v>
      </c>
      <c r="I22" s="735">
        <f>($I$19*'19 General Wages'!I9)*(1+'21 Sales Taxes'!G8)*(1+$C$12) + $I$20*(1+'21 Sales Taxes'!H8)*(1+$C$13)</f>
        <v>207.16556731066424</v>
      </c>
      <c r="J22" s="736">
        <f>($J$19*'19 General Wages'!J9)*(1+'21 Sales Taxes'!G8)*(1+$C$12) + $J$20*(1+'21 Sales Taxes'!H8)*(1+$C$13)</f>
        <v>699.83228407269871</v>
      </c>
      <c r="L22" s="1289"/>
      <c r="M22" s="1290"/>
      <c r="N22" s="744"/>
      <c r="O22" s="746"/>
    </row>
    <row r="23" spans="1:16" ht="15" customHeight="1" x14ac:dyDescent="0.25">
      <c r="D23" s="967" t="s">
        <v>60</v>
      </c>
      <c r="E23" s="735">
        <f t="shared" ref="E23:E31" si="0">$N$20</f>
        <v>80</v>
      </c>
      <c r="F23" s="735">
        <f t="shared" ref="F23:F31" si="1">$N$19</f>
        <v>50</v>
      </c>
      <c r="G23" s="735">
        <f>($G$19*'19 General Wages'!K10)*(1+'21 Sales Taxes'!G9+'19 General Wages'!L10)*(1+$C$12) + $G$20*(1+'21 Sales Taxes'!H9)*(1+$C$13)</f>
        <v>979.17848514359594</v>
      </c>
      <c r="H23" s="735">
        <f>($H$19*'19 General Wages'!I10)*(1+'21 Sales Taxes'!G9)*(1+$C$12) + $H$20*(1+'21 Sales Taxes'!H9)*(1+$C$13)</f>
        <v>218.44881117399441</v>
      </c>
      <c r="I23" s="735">
        <f>($I$19*'19 General Wages'!I10)*(1+'21 Sales Taxes'!G9)*(1+$C$12) + $I$20*(1+'21 Sales Taxes'!H9)*(1+$C$13)</f>
        <v>218.44881117399441</v>
      </c>
      <c r="J23" s="736">
        <f>($J$19*'19 General Wages'!J10)*(1+'21 Sales Taxes'!G9)*(1+$C$12) + $J$20*(1+'21 Sales Taxes'!H9)*(1+$C$13)</f>
        <v>736.74197281796955</v>
      </c>
      <c r="L23" s="167" t="s">
        <v>153</v>
      </c>
    </row>
    <row r="24" spans="1:16" ht="15" customHeight="1" x14ac:dyDescent="0.25">
      <c r="D24" s="967" t="s">
        <v>41</v>
      </c>
      <c r="E24" s="735">
        <f t="shared" si="0"/>
        <v>80</v>
      </c>
      <c r="F24" s="735">
        <f t="shared" si="1"/>
        <v>50</v>
      </c>
      <c r="G24" s="735">
        <f>($G$19*'19 General Wages'!K11)*(1+'21 Sales Taxes'!G10+'19 General Wages'!L11)*(1+$C$12) + $G$20*(1+'21 Sales Taxes'!H10)*(1+$C$13)</f>
        <v>982.63918170388138</v>
      </c>
      <c r="H24" s="735">
        <f>($H$19*'19 General Wages'!I11)*(1+'21 Sales Taxes'!G10)*(1+$C$12) + $H$20*(1+'21 Sales Taxes'!H10)*(1+$C$13)</f>
        <v>200.97136997079582</v>
      </c>
      <c r="I24" s="735">
        <f>($I$19*'19 General Wages'!I11)*(1+'21 Sales Taxes'!G10)*(1+$C$12) + $I$20*(1+'21 Sales Taxes'!H10)*(1+$C$13)</f>
        <v>200.97136997079582</v>
      </c>
      <c r="J24" s="736">
        <f>($J$19*'19 General Wages'!J11)*(1+'21 Sales Taxes'!G10)*(1+$C$12) + $J$20*(1+'21 Sales Taxes'!H10)*(1+$C$13)</f>
        <v>690.81845992239062</v>
      </c>
    </row>
    <row r="25" spans="1:16" ht="15" customHeight="1" x14ac:dyDescent="0.25">
      <c r="D25" s="967" t="s">
        <v>44</v>
      </c>
      <c r="E25" s="735">
        <f t="shared" si="0"/>
        <v>80</v>
      </c>
      <c r="F25" s="735">
        <f t="shared" si="1"/>
        <v>50</v>
      </c>
      <c r="G25" s="735">
        <f>($G$19*'19 General Wages'!K12)*(1+'21 Sales Taxes'!G11+'19 General Wages'!L12)*(1+$C$12) + $G$20*(1+'21 Sales Taxes'!H11)*(1+$C$13)</f>
        <v>990.87241040539061</v>
      </c>
      <c r="H25" s="735">
        <f>($H$19*'19 General Wages'!I12)*(1+'21 Sales Taxes'!G11)*(1+$C$12) + $H$20*(1+'21 Sales Taxes'!H11)*(1+$C$13)</f>
        <v>188.9892966821071</v>
      </c>
      <c r="I25" s="735">
        <f>($I$19*'19 General Wages'!I12)*(1+'21 Sales Taxes'!G11)*(1+$C$12) + $I$20*(1+'21 Sales Taxes'!H11)*(1+$C$13)</f>
        <v>188.9892966821071</v>
      </c>
      <c r="J25" s="736">
        <f>($J$19*'19 General Wages'!J12)*(1+'21 Sales Taxes'!G11)*(1+$C$12) + $J$20*(1+'21 Sales Taxes'!H11)*(1+$C$13)</f>
        <v>674.86628209865148</v>
      </c>
    </row>
    <row r="26" spans="1:16" ht="15" customHeight="1" x14ac:dyDescent="0.25">
      <c r="D26" s="967" t="s">
        <v>34</v>
      </c>
      <c r="E26" s="735">
        <f t="shared" si="0"/>
        <v>80</v>
      </c>
      <c r="F26" s="735">
        <f t="shared" si="1"/>
        <v>50</v>
      </c>
      <c r="G26" s="735">
        <f>($G$19*'19 General Wages'!K13)*(1+'21 Sales Taxes'!G12+'19 General Wages'!L13)*(1+$C$12) + $G$20*(1+'21 Sales Taxes'!H12)*(1+$C$13)</f>
        <v>953.29569427859985</v>
      </c>
      <c r="H26" s="735">
        <f>($H$19*'19 General Wages'!I13)*(1+'21 Sales Taxes'!G12)*(1+$C$12) + $H$20*(1+'21 Sales Taxes'!H12)*(1+$C$13)</f>
        <v>146.28736463351376</v>
      </c>
      <c r="I26" s="735">
        <f>($I$19*'19 General Wages'!I13)*(1+'21 Sales Taxes'!G12)*(1+$C$12) + $I$20*(1+'21 Sales Taxes'!H12)*(1+$C$13)</f>
        <v>146.28736463351376</v>
      </c>
      <c r="J26" s="736">
        <f>($J$19*'19 General Wages'!J13)*(1+'21 Sales Taxes'!G12)*(1+$C$12) + $J$20*(1+'21 Sales Taxes'!H12)*(1+$C$13)</f>
        <v>586.30929895336658</v>
      </c>
    </row>
    <row r="27" spans="1:16" ht="15" customHeight="1" x14ac:dyDescent="0.25">
      <c r="D27" s="967" t="s">
        <v>20</v>
      </c>
      <c r="E27" s="735">
        <f t="shared" si="0"/>
        <v>80</v>
      </c>
      <c r="F27" s="735">
        <f t="shared" si="1"/>
        <v>50</v>
      </c>
      <c r="G27" s="735">
        <f>($G$19*'19 General Wages'!K14)*(1+'21 Sales Taxes'!G13+'19 General Wages'!L14)*(1+$C$12) + $G$20*(1+'21 Sales Taxes'!H13)*(1+$C$13)</f>
        <v>956.47005451530117</v>
      </c>
      <c r="H27" s="735">
        <f>($H$19*'19 General Wages'!I14)*(1+'21 Sales Taxes'!G13)*(1+$C$12) + $H$20*(1+'21 Sales Taxes'!H13)*(1+$C$13)</f>
        <v>151.66815907089159</v>
      </c>
      <c r="I27" s="735">
        <f>($I$19*'19 General Wages'!I14)*(1+'21 Sales Taxes'!G13)*(1+$C$12) + $I$20*(1+'21 Sales Taxes'!H13)*(1+$C$13)</f>
        <v>151.66815907089159</v>
      </c>
      <c r="J27" s="736">
        <f>($J$19*'19 General Wages'!J14)*(1+'21 Sales Taxes'!G13)*(1+$C$12) + $J$20*(1+'21 Sales Taxes'!H13)*(1+$C$13)</f>
        <v>594.72723790968462</v>
      </c>
    </row>
    <row r="28" spans="1:16" ht="15" customHeight="1" x14ac:dyDescent="0.25">
      <c r="D28" s="967" t="s">
        <v>27</v>
      </c>
      <c r="E28" s="735">
        <f t="shared" si="0"/>
        <v>80</v>
      </c>
      <c r="F28" s="735">
        <f t="shared" si="1"/>
        <v>50</v>
      </c>
      <c r="G28" s="735">
        <f>($G$19*'19 General Wages'!K15)*(1+'21 Sales Taxes'!G14+'19 General Wages'!L15)*(1+$C$12) + $G$20*(1+'21 Sales Taxes'!H14)*(1+$C$13)</f>
        <v>983.59236563235959</v>
      </c>
      <c r="H28" s="735">
        <f>($H$19*'19 General Wages'!I15)*(1+'21 Sales Taxes'!G14)*(1+$C$12) + $H$20*(1+'21 Sales Taxes'!H14)*(1+$C$13)</f>
        <v>160.89973207303103</v>
      </c>
      <c r="I28" s="735">
        <f>($I$19*'19 General Wages'!I15)*(1+'21 Sales Taxes'!G14)*(1+$C$12) + $I$20*(1+'21 Sales Taxes'!H14)*(1+$C$13)</f>
        <v>160.89973207303103</v>
      </c>
      <c r="J28" s="736">
        <f>($J$19*'19 General Wages'!J15)*(1+'21 Sales Taxes'!G14)*(1+$C$12) + $J$20*(1+'21 Sales Taxes'!H14)*(1+$C$13)</f>
        <v>610.08587243749548</v>
      </c>
    </row>
    <row r="29" spans="1:16" ht="15" customHeight="1" x14ac:dyDescent="0.25">
      <c r="D29" s="967" t="s">
        <v>25</v>
      </c>
      <c r="E29" s="735">
        <f t="shared" si="0"/>
        <v>80</v>
      </c>
      <c r="F29" s="735">
        <f t="shared" si="1"/>
        <v>50</v>
      </c>
      <c r="G29" s="735">
        <f>($G$19*'19 General Wages'!K16)*(1+'21 Sales Taxes'!G15+'19 General Wages'!L16)*(1+$C$12) + $G$20*(1+'21 Sales Taxes'!H15)*(1+$C$13)</f>
        <v>974.4721170121702</v>
      </c>
      <c r="H29" s="735">
        <f>($H$19*'19 General Wages'!I16)*(1+'21 Sales Taxes'!G15)*(1+$C$12) + $H$20*(1+'21 Sales Taxes'!H15)*(1+$C$13)</f>
        <v>168.20401269102314</v>
      </c>
      <c r="I29" s="735">
        <f>($I$19*'19 General Wages'!I16)*(1+'21 Sales Taxes'!G15)*(1+$C$12) + $I$20*(1+'21 Sales Taxes'!H15)*(1+$C$13)</f>
        <v>168.20401269102314</v>
      </c>
      <c r="J29" s="736">
        <f>($J$19*'19 General Wages'!J16)*(1+'21 Sales Taxes'!G15)*(1+$C$12) + $J$20*(1+'21 Sales Taxes'!H15)*(1+$C$13)</f>
        <v>624.65873017879778</v>
      </c>
    </row>
    <row r="30" spans="1:16" ht="15" customHeight="1" x14ac:dyDescent="0.25">
      <c r="D30" s="967" t="s">
        <v>23</v>
      </c>
      <c r="E30" s="735">
        <f t="shared" si="0"/>
        <v>80</v>
      </c>
      <c r="F30" s="735">
        <f t="shared" si="1"/>
        <v>50</v>
      </c>
      <c r="G30" s="735">
        <f>($G$19*'19 General Wages'!K17)*(1+'21 Sales Taxes'!G16+'19 General Wages'!L17)*(1+$C$12) + $G$20*(1+'21 Sales Taxes'!H16)*(1+$C$13)</f>
        <v>1018.156953068667</v>
      </c>
      <c r="H30" s="735">
        <f>($H$19*'19 General Wages'!I17)*(1+'21 Sales Taxes'!G16)*(1+$C$12) + $H$20*(1+'21 Sales Taxes'!H16)*(1+$C$13)</f>
        <v>202.81623728000895</v>
      </c>
      <c r="I30" s="735">
        <f>($I$19*'19 General Wages'!I17)*(1+'21 Sales Taxes'!G16)*(1+$C$12) + $I$20*(1+'21 Sales Taxes'!H16)*(1+$C$13)</f>
        <v>202.81623728000895</v>
      </c>
      <c r="J30" s="736">
        <f>($J$19*'19 General Wages'!J17)*(1+'21 Sales Taxes'!G16)*(1+$C$12) + $J$20*(1+'21 Sales Taxes'!H16)*(1+$C$13)</f>
        <v>779.48845127135269</v>
      </c>
    </row>
    <row r="31" spans="1:16" ht="15" customHeight="1" thickBot="1" x14ac:dyDescent="0.3">
      <c r="D31" s="968" t="s">
        <v>151</v>
      </c>
      <c r="E31" s="737">
        <f t="shared" si="0"/>
        <v>80</v>
      </c>
      <c r="F31" s="737">
        <f t="shared" si="1"/>
        <v>50</v>
      </c>
      <c r="G31" s="737">
        <f>($G$19*'19 General Wages'!K18)*(1+'21 Sales Taxes'!G17+'19 General Wages'!L18)*(1+$C$12) + $G$20*(1+'21 Sales Taxes'!H17)*(1+$C$13)</f>
        <v>979.53788644511599</v>
      </c>
      <c r="H31" s="737">
        <f>($H$19*'19 General Wages'!I18)*(1+'21 Sales Taxes'!G17)*(1+$C$12) + $H$20*(1+'21 Sales Taxes'!H17)*(1+$C$13)</f>
        <v>181.35804537048514</v>
      </c>
      <c r="I31" s="737">
        <f>($I$19*'19 General Wages'!I18)*(1+'21 Sales Taxes'!G17)*(1+$C$12) + $I$20*(1+'21 Sales Taxes'!H17)*(1+$C$13)</f>
        <v>181.35804537048514</v>
      </c>
      <c r="J31" s="738">
        <f>($J$19*'19 General Wages'!J18)*(1+'21 Sales Taxes'!G17)*(1+$C$12) + $J$20*(1+'21 Sales Taxes'!H17)*(1+$C$13)</f>
        <v>665.02281269003333</v>
      </c>
    </row>
    <row r="32" spans="1:16" ht="20.25" x14ac:dyDescent="0.3">
      <c r="D32" s="1184" t="s">
        <v>1156</v>
      </c>
      <c r="E32" s="1184"/>
      <c r="F32" s="1184"/>
      <c r="G32" s="1184"/>
      <c r="H32" s="1184"/>
    </row>
    <row r="33" spans="1:15" ht="20.25" x14ac:dyDescent="0.25">
      <c r="D33" s="1283" t="s">
        <v>1454</v>
      </c>
      <c r="E33" s="1283"/>
      <c r="F33" s="1283"/>
      <c r="G33" s="1283"/>
      <c r="H33" s="948" t="s">
        <v>278</v>
      </c>
    </row>
    <row r="34" spans="1:15" ht="20.25" x14ac:dyDescent="0.3">
      <c r="D34" s="1275" t="s">
        <v>1449</v>
      </c>
      <c r="E34" s="1275"/>
      <c r="F34" s="1275"/>
      <c r="G34" s="1275"/>
      <c r="H34" s="949" t="s">
        <v>1155</v>
      </c>
    </row>
    <row r="36" spans="1:15" ht="20.25" x14ac:dyDescent="0.3">
      <c r="D36" s="1183" t="s">
        <v>1157</v>
      </c>
      <c r="E36" s="723" t="s">
        <v>1446</v>
      </c>
    </row>
    <row r="37" spans="1:15" ht="20.25" x14ac:dyDescent="0.3">
      <c r="D37" s="1183"/>
      <c r="E37" s="723" t="s">
        <v>1447</v>
      </c>
    </row>
    <row r="39" spans="1:15" ht="20.25" customHeight="1" x14ac:dyDescent="0.25">
      <c r="A39" s="1272" t="s">
        <v>1385</v>
      </c>
      <c r="B39" s="1272"/>
      <c r="C39" s="1272"/>
      <c r="D39" s="1272"/>
      <c r="E39" s="1272"/>
      <c r="F39" s="1272"/>
      <c r="G39" s="1272"/>
      <c r="H39" s="1272"/>
      <c r="I39" s="1272"/>
      <c r="J39" s="1272"/>
      <c r="K39" s="1272"/>
    </row>
    <row r="40" spans="1:15" ht="18.75" x14ac:dyDescent="0.3">
      <c r="A40" s="24" t="s">
        <v>298</v>
      </c>
      <c r="B40" s="24" t="s">
        <v>127</v>
      </c>
      <c r="C40" s="24" t="s">
        <v>239</v>
      </c>
      <c r="D40" s="24" t="s">
        <v>299</v>
      </c>
      <c r="E40" s="24" t="s">
        <v>300</v>
      </c>
      <c r="F40" s="24"/>
      <c r="G40" s="63" t="s">
        <v>236</v>
      </c>
      <c r="K40" s="251" t="s">
        <v>1553</v>
      </c>
      <c r="L40" s="87"/>
      <c r="M40" s="87"/>
      <c r="N40" s="87"/>
      <c r="O40" s="87"/>
    </row>
    <row r="41" spans="1:15" ht="18.75" x14ac:dyDescent="0.3">
      <c r="A41" s="64"/>
      <c r="B41" s="267" t="s">
        <v>1539</v>
      </c>
      <c r="C41" s="159"/>
      <c r="E41" s="308"/>
      <c r="F41" s="163"/>
      <c r="G41" s="161"/>
      <c r="L41" s="87"/>
      <c r="M41" s="101"/>
      <c r="N41" s="87"/>
      <c r="O41" s="64"/>
    </row>
    <row r="42" spans="1:15" ht="18.75" x14ac:dyDescent="0.3">
      <c r="A42" s="88"/>
      <c r="B42" s="42" t="s">
        <v>1561</v>
      </c>
      <c r="C42" s="159"/>
      <c r="D42" s="159"/>
      <c r="E42" s="164"/>
      <c r="F42" s="164"/>
      <c r="G42" s="161"/>
      <c r="L42" s="87"/>
      <c r="M42" s="87"/>
      <c r="N42" s="87"/>
      <c r="O42" s="93"/>
    </row>
    <row r="43" spans="1:15" ht="18.75" x14ac:dyDescent="0.3">
      <c r="A43" s="1255" t="s">
        <v>347</v>
      </c>
      <c r="B43" s="1255"/>
      <c r="C43" s="1255"/>
      <c r="D43" s="1255"/>
      <c r="E43" s="1255"/>
      <c r="F43" s="1255"/>
      <c r="G43" s="1255"/>
      <c r="H43" s="1255"/>
      <c r="I43" s="1255"/>
      <c r="J43" s="1255"/>
      <c r="K43" s="1255"/>
      <c r="M43" s="87"/>
      <c r="N43" s="87"/>
      <c r="O43" s="87"/>
    </row>
    <row r="44" spans="1:15" ht="18.75" x14ac:dyDescent="0.3">
      <c r="A44" s="24" t="s">
        <v>298</v>
      </c>
      <c r="B44" s="24" t="s">
        <v>127</v>
      </c>
      <c r="C44" s="24" t="s">
        <v>239</v>
      </c>
      <c r="D44" s="24" t="s">
        <v>299</v>
      </c>
      <c r="E44" s="24" t="s">
        <v>300</v>
      </c>
      <c r="F44" s="24"/>
      <c r="G44" s="63" t="s">
        <v>236</v>
      </c>
      <c r="M44" s="87"/>
      <c r="N44" s="87"/>
      <c r="O44" s="107"/>
    </row>
    <row r="45" spans="1:15" ht="18.75" x14ac:dyDescent="0.3">
      <c r="A45" s="42"/>
      <c r="B45" s="169" t="s">
        <v>557</v>
      </c>
      <c r="C45" s="159"/>
      <c r="E45" s="308"/>
      <c r="F45" s="163"/>
      <c r="G45" s="310"/>
      <c r="M45" s="87"/>
      <c r="N45" s="87"/>
      <c r="O45" s="107"/>
    </row>
    <row r="46" spans="1:15" ht="18.75" x14ac:dyDescent="0.3">
      <c r="B46" s="42" t="s">
        <v>1562</v>
      </c>
      <c r="E46" s="166"/>
      <c r="F46" s="166"/>
      <c r="M46" s="87"/>
      <c r="N46" s="87"/>
      <c r="O46" s="87"/>
    </row>
    <row r="47" spans="1:15" ht="17.25" x14ac:dyDescent="0.25">
      <c r="A47" s="1272" t="s">
        <v>1386</v>
      </c>
      <c r="B47" s="1272"/>
      <c r="C47" s="1272"/>
      <c r="D47" s="1272"/>
      <c r="E47" s="1272"/>
      <c r="F47" s="1272"/>
      <c r="G47" s="1272"/>
      <c r="H47" s="1272"/>
      <c r="I47" s="1272"/>
      <c r="J47" s="1272"/>
      <c r="K47" s="1272"/>
    </row>
    <row r="48" spans="1:15" x14ac:dyDescent="0.25">
      <c r="A48" s="24" t="s">
        <v>298</v>
      </c>
      <c r="B48" s="24" t="s">
        <v>127</v>
      </c>
      <c r="C48" s="24" t="s">
        <v>239</v>
      </c>
      <c r="D48" s="24" t="s">
        <v>299</v>
      </c>
      <c r="E48" s="24" t="s">
        <v>300</v>
      </c>
      <c r="F48" s="24"/>
      <c r="G48" s="63" t="s">
        <v>236</v>
      </c>
    </row>
    <row r="49" spans="1:16" x14ac:dyDescent="0.25">
      <c r="A49" s="158" t="s">
        <v>164</v>
      </c>
      <c r="B49" s="312"/>
      <c r="C49" s="650">
        <v>100</v>
      </c>
      <c r="D49" s="313"/>
      <c r="E49" s="314"/>
      <c r="F49" s="20"/>
      <c r="G49" s="442" t="s">
        <v>558</v>
      </c>
    </row>
    <row r="50" spans="1:16" x14ac:dyDescent="0.25">
      <c r="B50" s="264"/>
      <c r="C50" s="159"/>
      <c r="D50" s="159"/>
      <c r="E50" s="158"/>
      <c r="G50" s="193"/>
    </row>
    <row r="51" spans="1:16" x14ac:dyDescent="0.25">
      <c r="C51" s="159"/>
      <c r="D51" s="158"/>
      <c r="E51" s="159"/>
      <c r="F51" s="42"/>
    </row>
    <row r="52" spans="1:16" x14ac:dyDescent="0.25">
      <c r="B52" s="264"/>
      <c r="C52" s="159"/>
      <c r="D52" s="158"/>
      <c r="E52" s="159"/>
      <c r="F52" s="42"/>
    </row>
    <row r="53" spans="1:16" ht="18.75" x14ac:dyDescent="0.3">
      <c r="A53" s="1272" t="s">
        <v>1387</v>
      </c>
      <c r="B53" s="1272"/>
      <c r="C53" s="1272"/>
      <c r="D53" s="1272"/>
      <c r="E53" s="1272"/>
      <c r="F53" s="1272"/>
      <c r="G53" s="1272"/>
      <c r="H53" s="1272"/>
      <c r="I53" s="1272"/>
      <c r="J53" s="1272"/>
      <c r="K53" s="1272"/>
      <c r="L53" s="330" t="s">
        <v>259</v>
      </c>
    </row>
    <row r="54" spans="1:16" ht="78" customHeight="1" x14ac:dyDescent="0.25">
      <c r="A54" s="232" t="s">
        <v>298</v>
      </c>
      <c r="B54" s="24" t="s">
        <v>127</v>
      </c>
      <c r="C54" s="24" t="s">
        <v>239</v>
      </c>
      <c r="D54" s="24" t="s">
        <v>299</v>
      </c>
      <c r="E54" s="24" t="s">
        <v>300</v>
      </c>
      <c r="F54" s="24"/>
      <c r="G54" s="24" t="s">
        <v>236</v>
      </c>
      <c r="H54" s="233"/>
      <c r="I54" s="233"/>
      <c r="J54" s="233"/>
      <c r="K54" s="231"/>
      <c r="L54" s="1268" t="s">
        <v>1391</v>
      </c>
      <c r="M54" s="1268"/>
      <c r="N54" s="1268"/>
      <c r="O54" s="1268"/>
      <c r="P54" s="1268"/>
    </row>
    <row r="55" spans="1:16" ht="70.5" customHeight="1" x14ac:dyDescent="0.25">
      <c r="A55" s="232" t="s">
        <v>469</v>
      </c>
      <c r="B55" s="319">
        <v>1750</v>
      </c>
      <c r="C55" s="233"/>
      <c r="D55" s="311">
        <f>E61</f>
        <v>1759.2745630481918</v>
      </c>
      <c r="E55" s="612">
        <f>C56</f>
        <v>2.5</v>
      </c>
      <c r="G55" s="651" t="s">
        <v>470</v>
      </c>
      <c r="H55" s="233"/>
      <c r="I55" s="233"/>
      <c r="J55" s="233"/>
      <c r="K55" s="231"/>
      <c r="L55" s="1268" t="s">
        <v>1392</v>
      </c>
      <c r="M55" s="1268"/>
      <c r="N55" s="1268"/>
      <c r="O55" s="1268"/>
      <c r="P55" s="1268"/>
    </row>
    <row r="56" spans="1:16" ht="26.25" customHeight="1" x14ac:dyDescent="0.25">
      <c r="A56" s="233" t="s">
        <v>471</v>
      </c>
      <c r="B56" s="233" t="s">
        <v>472</v>
      </c>
      <c r="C56" s="612">
        <f>AVERAGE(1,4)</f>
        <v>2.5</v>
      </c>
      <c r="D56" s="233"/>
      <c r="E56" s="233"/>
      <c r="F56" s="233"/>
      <c r="G56" s="237"/>
      <c r="H56" s="233"/>
      <c r="I56" s="233"/>
      <c r="J56" s="233"/>
      <c r="K56" s="231"/>
      <c r="L56" s="1268" t="s">
        <v>1393</v>
      </c>
      <c r="M56" s="1268"/>
      <c r="N56" s="1268"/>
      <c r="O56" s="1268"/>
      <c r="P56" s="1268"/>
    </row>
    <row r="57" spans="1:16" ht="17.25" x14ac:dyDescent="0.25">
      <c r="A57" s="233" t="s">
        <v>1547</v>
      </c>
      <c r="B57" s="336"/>
      <c r="C57" s="616">
        <f>'19 General Wages'!$K$18*(1+'19 General Wages'!$L$18+'21 Sales Taxes'!$G$17)*(1+'14 Space Heating Detailed Costs'!$I$5)</f>
        <v>45.961953937369422</v>
      </c>
      <c r="D57" s="233"/>
      <c r="E57" s="233"/>
      <c r="F57" s="233"/>
      <c r="H57" s="233"/>
      <c r="I57" s="233"/>
      <c r="J57" s="233"/>
      <c r="K57" s="231"/>
      <c r="L57" s="1268"/>
      <c r="M57" s="1268"/>
      <c r="N57" s="1268"/>
      <c r="O57" s="1268"/>
      <c r="P57" s="1268"/>
    </row>
    <row r="58" spans="1:16" ht="17.25" x14ac:dyDescent="0.25">
      <c r="A58" s="233" t="s">
        <v>1548</v>
      </c>
      <c r="C58" s="618">
        <f>C56*C57</f>
        <v>114.90488484342356</v>
      </c>
      <c r="D58" s="158"/>
      <c r="E58" s="158"/>
      <c r="F58" s="233"/>
      <c r="H58" s="233"/>
      <c r="I58" s="233"/>
      <c r="J58" s="233"/>
      <c r="K58" s="231"/>
    </row>
    <row r="59" spans="1:16" x14ac:dyDescent="0.25">
      <c r="A59" s="235"/>
      <c r="B59" s="238"/>
      <c r="C59" s="235"/>
      <c r="D59" s="1276" t="s">
        <v>1373</v>
      </c>
      <c r="E59" s="1276"/>
      <c r="F59" s="238"/>
      <c r="G59" s="238"/>
      <c r="H59" s="234"/>
      <c r="I59" s="234"/>
      <c r="J59" s="234"/>
      <c r="K59" s="234"/>
    </row>
    <row r="60" spans="1:16" x14ac:dyDescent="0.25">
      <c r="A60" s="235"/>
      <c r="B60" s="238"/>
      <c r="C60" s="238"/>
      <c r="D60" s="337" t="s">
        <v>1339</v>
      </c>
      <c r="E60" s="337" t="s">
        <v>229</v>
      </c>
      <c r="F60" s="238"/>
      <c r="G60" s="238"/>
      <c r="H60" s="234"/>
      <c r="I60" s="234"/>
      <c r="J60" s="234"/>
      <c r="K60" s="234"/>
    </row>
    <row r="61" spans="1:16" x14ac:dyDescent="0.25">
      <c r="A61" s="236"/>
      <c r="B61" s="234"/>
      <c r="C61" s="234"/>
      <c r="D61" s="652">
        <f>B55-C58</f>
        <v>1635.0951151565764</v>
      </c>
      <c r="E61" s="653">
        <f>(D61/(1-'19 General Wages'!K19))/(1-'19 General Wages'!K19)</f>
        <v>1759.2745630481918</v>
      </c>
      <c r="F61" s="234"/>
      <c r="G61" s="234"/>
      <c r="I61" s="234"/>
      <c r="J61" s="234"/>
      <c r="K61" s="234"/>
    </row>
    <row r="62" spans="1:16" ht="17.25" x14ac:dyDescent="0.25">
      <c r="A62" s="1272" t="s">
        <v>1388</v>
      </c>
      <c r="B62" s="1272"/>
      <c r="C62" s="1272"/>
      <c r="D62" s="1272"/>
      <c r="E62" s="1272"/>
      <c r="F62" s="1272"/>
      <c r="G62" s="1272"/>
      <c r="H62" s="1272"/>
      <c r="I62" s="1272"/>
      <c r="J62" s="1272"/>
      <c r="K62" s="1272"/>
    </row>
    <row r="63" spans="1:16" x14ac:dyDescent="0.25">
      <c r="A63" s="24" t="s">
        <v>298</v>
      </c>
      <c r="B63" s="24" t="s">
        <v>127</v>
      </c>
      <c r="C63" s="24" t="s">
        <v>239</v>
      </c>
      <c r="D63" s="24" t="s">
        <v>299</v>
      </c>
      <c r="E63" s="24" t="s">
        <v>300</v>
      </c>
      <c r="F63" s="24"/>
    </row>
    <row r="64" spans="1:16" x14ac:dyDescent="0.25">
      <c r="A64" s="62"/>
      <c r="B64" s="169" t="s">
        <v>474</v>
      </c>
      <c r="C64" s="315"/>
      <c r="E64" s="167"/>
      <c r="F64" s="20"/>
      <c r="G64" s="169"/>
    </row>
    <row r="65" spans="1:11" x14ac:dyDescent="0.25">
      <c r="A65" s="62"/>
      <c r="B65" s="42" t="s">
        <v>1549</v>
      </c>
      <c r="C65" s="42"/>
      <c r="D65" s="42"/>
      <c r="G65" s="169"/>
    </row>
    <row r="66" spans="1:11" ht="17.25" x14ac:dyDescent="0.25">
      <c r="A66" s="1272" t="s">
        <v>1389</v>
      </c>
      <c r="B66" s="1272"/>
      <c r="C66" s="1272"/>
      <c r="D66" s="1272"/>
      <c r="E66" s="1272"/>
      <c r="F66" s="1272"/>
      <c r="G66" s="1272"/>
      <c r="H66" s="1272"/>
      <c r="I66" s="1272"/>
      <c r="J66" s="1272"/>
      <c r="K66" s="1272"/>
    </row>
    <row r="67" spans="1:11" x14ac:dyDescent="0.25">
      <c r="A67" s="24" t="s">
        <v>298</v>
      </c>
      <c r="B67" s="24" t="s">
        <v>127</v>
      </c>
      <c r="C67" s="24" t="s">
        <v>239</v>
      </c>
      <c r="D67" s="24" t="s">
        <v>299</v>
      </c>
      <c r="E67" s="24" t="s">
        <v>300</v>
      </c>
      <c r="F67" s="24"/>
    </row>
    <row r="68" spans="1:11" x14ac:dyDescent="0.25">
      <c r="A68" s="62"/>
      <c r="B68" s="169" t="s">
        <v>1560</v>
      </c>
      <c r="C68" s="315"/>
      <c r="E68" s="167"/>
      <c r="F68" s="20"/>
      <c r="G68" s="169"/>
      <c r="H68" s="234"/>
    </row>
    <row r="69" spans="1:11" x14ac:dyDescent="0.25">
      <c r="B69" s="42" t="s">
        <v>1549</v>
      </c>
    </row>
    <row r="70" spans="1:11" ht="17.25" x14ac:dyDescent="0.25">
      <c r="A70" s="1272" t="s">
        <v>1385</v>
      </c>
      <c r="B70" s="1272"/>
      <c r="C70" s="1272"/>
      <c r="D70" s="1272"/>
      <c r="E70" s="1272"/>
      <c r="F70" s="1272"/>
      <c r="G70" s="1272"/>
      <c r="H70" s="1272"/>
      <c r="I70" s="1272"/>
      <c r="J70" s="1272"/>
      <c r="K70" s="1272"/>
    </row>
    <row r="71" spans="1:11" x14ac:dyDescent="0.25">
      <c r="A71" s="24" t="s">
        <v>298</v>
      </c>
      <c r="B71" s="24" t="s">
        <v>127</v>
      </c>
      <c r="C71" s="24" t="s">
        <v>239</v>
      </c>
      <c r="D71" s="24" t="s">
        <v>299</v>
      </c>
      <c r="E71" s="24" t="s">
        <v>300</v>
      </c>
      <c r="F71" s="24"/>
    </row>
    <row r="72" spans="1:11" x14ac:dyDescent="0.25">
      <c r="A72" s="42"/>
      <c r="B72" s="30" t="s">
        <v>475</v>
      </c>
      <c r="C72" s="42"/>
      <c r="E72" s="42"/>
      <c r="F72" s="42"/>
    </row>
    <row r="73" spans="1:11" x14ac:dyDescent="0.25">
      <c r="A73" s="42"/>
      <c r="B73" s="42" t="s">
        <v>1561</v>
      </c>
      <c r="C73" s="42"/>
      <c r="E73" s="42"/>
      <c r="F73" s="42"/>
    </row>
    <row r="74" spans="1:11" ht="17.25" x14ac:dyDescent="0.25">
      <c r="A74" s="1272" t="s">
        <v>1390</v>
      </c>
      <c r="B74" s="1272"/>
      <c r="C74" s="1272"/>
      <c r="D74" s="1272"/>
      <c r="E74" s="1272"/>
      <c r="F74" s="1272"/>
      <c r="G74" s="1272"/>
      <c r="H74" s="1272"/>
      <c r="I74" s="1272"/>
      <c r="J74" s="1272"/>
      <c r="K74" s="1272"/>
    </row>
    <row r="75" spans="1:11" x14ac:dyDescent="0.25">
      <c r="A75" s="24" t="s">
        <v>298</v>
      </c>
      <c r="B75" s="24" t="s">
        <v>127</v>
      </c>
      <c r="C75" s="24" t="s">
        <v>239</v>
      </c>
      <c r="D75" s="24" t="s">
        <v>299</v>
      </c>
      <c r="E75" s="24" t="s">
        <v>300</v>
      </c>
      <c r="F75" s="42"/>
      <c r="G75" s="24" t="s">
        <v>236</v>
      </c>
    </row>
    <row r="76" spans="1:11" ht="30" x14ac:dyDescent="0.25">
      <c r="A76" s="488" t="s">
        <v>939</v>
      </c>
      <c r="B76" s="411" t="s">
        <v>627</v>
      </c>
      <c r="C76" s="616">
        <f>(75+125)/2</f>
        <v>100</v>
      </c>
      <c r="D76" s="67"/>
      <c r="E76" s="616">
        <f>C76</f>
        <v>100</v>
      </c>
      <c r="F76" s="42"/>
      <c r="G76" s="161" t="s">
        <v>628</v>
      </c>
    </row>
  </sheetData>
  <mergeCells count="28">
    <mergeCell ref="L17:O17"/>
    <mergeCell ref="L18:M18"/>
    <mergeCell ref="L19:M22"/>
    <mergeCell ref="P19:P21"/>
    <mergeCell ref="P1:P3"/>
    <mergeCell ref="L55:P55"/>
    <mergeCell ref="L54:P54"/>
    <mergeCell ref="L56:P57"/>
    <mergeCell ref="A43:K43"/>
    <mergeCell ref="A47:K47"/>
    <mergeCell ref="A53:K53"/>
    <mergeCell ref="E1:J1"/>
    <mergeCell ref="F10:I10"/>
    <mergeCell ref="A1:D1"/>
    <mergeCell ref="G5:J5"/>
    <mergeCell ref="A39:K39"/>
    <mergeCell ref="D32:H32"/>
    <mergeCell ref="D33:G33"/>
    <mergeCell ref="A74:K74"/>
    <mergeCell ref="J12:K12"/>
    <mergeCell ref="A66:K66"/>
    <mergeCell ref="A70:K70"/>
    <mergeCell ref="B11:C11"/>
    <mergeCell ref="A62:K62"/>
    <mergeCell ref="D17:J17"/>
    <mergeCell ref="D34:G34"/>
    <mergeCell ref="D36:D37"/>
    <mergeCell ref="D59:E59"/>
  </mergeCells>
  <conditionalFormatting sqref="C41">
    <cfRule type="expression" dxfId="4" priority="1">
      <formula>_xlfn.ISFORMULA(U37:XFD181)</formula>
    </cfRule>
  </conditionalFormatting>
  <hyperlinks>
    <hyperlink ref="B10" location="'25 Markup Notes'!B13" display="Assume No Taxes on Markup" xr:uid="{398D5475-C68E-4FBC-9D45-85E99EDFEC2D}"/>
    <hyperlink ref="B45" location="'14 Space Heating Detailed Costs'!B40" display="Detailed 240V Costs Found Here" xr:uid="{7EA5175C-48D1-4DE9-B4A2-77465D9323DB}"/>
    <hyperlink ref="B41" location="'14 Space Heating Detailed Costs'!B98" display="Detail Fuel Lines Found Here" xr:uid="{80A5C7D3-E58F-4F23-9ACB-FB133287726F}"/>
    <hyperlink ref="B64:E64" location="'17 Water Heaters Costs'!E48" display="Detailed Propane Capping Costs Found Here" xr:uid="{401023E8-5135-4C98-A5F7-A613B4FE7FBB}"/>
    <hyperlink ref="B68:E68" location="'17 Water Heaters Costs'!E48" display="Detailed Propane Capping Costs Found Here" xr:uid="{9109203A-A160-4237-91B5-2639B50C310E}"/>
    <hyperlink ref="B68" location="'16 Water Heating Costs'!A74" display="Detailed Gas Capping Costs Found Here" xr:uid="{5031D147-A937-486D-8639-8AC0C6772C36}"/>
    <hyperlink ref="B72" location="'14 Space Heating Detailed Costs'!B98" display="Detailed Fuel Line Costs Found Here" xr:uid="{3CE5559F-16BA-4E1A-B067-C73FA653098E}"/>
    <hyperlink ref="G49" r:id="rId1" xr:uid="{7B6E9777-7AFE-4989-864F-65B05965FDDF}"/>
    <hyperlink ref="G55" r:id="rId2" xr:uid="{C51BBE14-AADB-4BFD-83F8-13D6B6A026E1}"/>
    <hyperlink ref="K10" r:id="rId3" xr:uid="{2FD7AB30-032A-4C28-8E76-613E7A4E9C69}"/>
    <hyperlink ref="G76" r:id="rId4" xr:uid="{30BC5E27-857A-4CD6-A2AE-4AFCB8599949}"/>
    <hyperlink ref="J10" location="'17 Cooking Costs'!A77" display="Most Electric Ranges are resistant, if going to an Induction stove The cost will increase by $100 to hardwire the cooktop or range" xr:uid="{A138F7C8-F50E-419B-8218-4533FC54218D}"/>
    <hyperlink ref="K11" r:id="rId5" xr:uid="{063DDFAF-EBC9-47EC-AAF8-3B2F56B3AEB7}"/>
    <hyperlink ref="L12" r:id="rId6" xr:uid="{2A8CBD04-F323-49C6-857D-8C2C41EDAE54}"/>
    <hyperlink ref="L23" r:id="rId7" xr:uid="{B17B57F8-8193-4393-A0D1-2310503D2DD2}"/>
    <hyperlink ref="B64" location="'16 Water Heating Costs'!A74" display="Detailed Propane Capping Costs Found Here" xr:uid="{116E772F-9EAF-4BC7-B2C8-E8ADED427D5B}"/>
  </hyperlinks>
  <pageMargins left="0.7" right="0.7" top="0.75" bottom="0.75" header="0.3" footer="0.3"/>
  <pageSetup orientation="portrait" r:id="rId8"/>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7914D-2067-4AA7-B6AB-8BFC6FD84741}">
  <sheetPr codeName="Sheet6">
    <tabColor theme="3"/>
  </sheetPr>
  <dimension ref="C1:L34"/>
  <sheetViews>
    <sheetView zoomScale="85" zoomScaleNormal="85" workbookViewId="0"/>
  </sheetViews>
  <sheetFormatPr defaultColWidth="9.140625" defaultRowHeight="15" x14ac:dyDescent="0.25"/>
  <cols>
    <col min="1" max="1" width="1.7109375" style="53" customWidth="1"/>
    <col min="2" max="2" width="0.85546875" style="53" customWidth="1"/>
    <col min="3" max="3" width="2" style="53" customWidth="1"/>
    <col min="4" max="4" width="23.7109375" style="53" customWidth="1"/>
    <col min="5" max="5" width="67.28515625" style="53" customWidth="1"/>
    <col min="6" max="6" width="52.5703125" style="53" customWidth="1"/>
    <col min="7" max="7" width="19.42578125" style="53" customWidth="1"/>
    <col min="8" max="16384" width="9.140625" style="53"/>
  </cols>
  <sheetData>
    <row r="1" spans="3:12" ht="13.9" customHeight="1" x14ac:dyDescent="0.25">
      <c r="C1" s="54"/>
      <c r="D1" s="1084" t="s">
        <v>177</v>
      </c>
      <c r="E1" s="1085"/>
      <c r="F1" s="1085"/>
      <c r="G1" s="1086"/>
      <c r="H1" s="349"/>
      <c r="I1" s="349"/>
      <c r="J1" s="349"/>
      <c r="K1" s="350"/>
    </row>
    <row r="2" spans="3:12" ht="13.9" customHeight="1" x14ac:dyDescent="0.25">
      <c r="C2" s="54"/>
      <c r="D2" s="1087"/>
      <c r="E2" s="1088"/>
      <c r="F2" s="1088"/>
      <c r="G2" s="1089"/>
      <c r="H2" s="349"/>
      <c r="I2" s="349"/>
      <c r="J2" s="349"/>
      <c r="K2" s="350"/>
    </row>
    <row r="3" spans="3:12" ht="13.9" customHeight="1" x14ac:dyDescent="0.25">
      <c r="C3" s="54"/>
      <c r="D3" s="1087"/>
      <c r="E3" s="1088"/>
      <c r="F3" s="1088"/>
      <c r="G3" s="1089"/>
      <c r="H3" s="349"/>
      <c r="I3" s="349"/>
      <c r="J3" s="349"/>
      <c r="K3" s="350"/>
    </row>
    <row r="4" spans="3:12" ht="13.9" customHeight="1" x14ac:dyDescent="0.25">
      <c r="C4" s="54"/>
      <c r="D4" s="1087"/>
      <c r="E4" s="1088"/>
      <c r="F4" s="1088"/>
      <c r="G4" s="1089"/>
      <c r="H4" s="349"/>
      <c r="I4" s="349"/>
      <c r="J4" s="349"/>
      <c r="K4" s="350"/>
    </row>
    <row r="5" spans="3:12" ht="13.9" customHeight="1" x14ac:dyDescent="0.25">
      <c r="C5" s="54"/>
      <c r="D5" s="1087"/>
      <c r="E5" s="1088"/>
      <c r="F5" s="1088"/>
      <c r="G5" s="1089"/>
      <c r="H5" s="349"/>
      <c r="I5" s="349"/>
      <c r="J5" s="349"/>
      <c r="K5" s="350"/>
    </row>
    <row r="6" spans="3:12" ht="22.5" x14ac:dyDescent="0.25">
      <c r="C6" s="54"/>
      <c r="D6" s="1090" t="s">
        <v>489</v>
      </c>
      <c r="E6" s="1091"/>
      <c r="F6" s="1091"/>
      <c r="G6" s="1092"/>
      <c r="H6" s="351"/>
      <c r="I6" s="351"/>
      <c r="J6" s="351"/>
      <c r="K6" s="351"/>
      <c r="L6" s="55"/>
    </row>
    <row r="7" spans="3:12" ht="22.5" x14ac:dyDescent="0.3">
      <c r="C7" s="54"/>
      <c r="D7" s="388" t="s">
        <v>1574</v>
      </c>
      <c r="E7" s="47" t="s">
        <v>1575</v>
      </c>
      <c r="F7" s="47" t="s">
        <v>101</v>
      </c>
      <c r="G7" s="389" t="s">
        <v>12</v>
      </c>
      <c r="H7" s="387"/>
      <c r="I7" s="56"/>
      <c r="J7" s="56"/>
      <c r="K7" s="56"/>
    </row>
    <row r="8" spans="3:12" ht="112.9" customHeight="1" x14ac:dyDescent="0.25">
      <c r="C8" s="54"/>
      <c r="D8" s="390">
        <v>1</v>
      </c>
      <c r="E8" s="352" t="s">
        <v>176</v>
      </c>
      <c r="F8" s="48" t="s">
        <v>1576</v>
      </c>
      <c r="G8" s="391"/>
      <c r="H8" s="55"/>
    </row>
    <row r="9" spans="3:12" ht="116.25" x14ac:dyDescent="0.25">
      <c r="C9" s="54"/>
      <c r="D9" s="390">
        <v>2</v>
      </c>
      <c r="E9" s="352" t="s">
        <v>490</v>
      </c>
      <c r="F9" s="48" t="s">
        <v>1577</v>
      </c>
      <c r="G9" s="391"/>
      <c r="H9" s="55"/>
    </row>
    <row r="10" spans="3:12" ht="136.9" customHeight="1" x14ac:dyDescent="0.25">
      <c r="C10" s="54"/>
      <c r="D10" s="390">
        <v>3</v>
      </c>
      <c r="E10" s="352" t="s">
        <v>495</v>
      </c>
      <c r="F10" s="48" t="s">
        <v>1578</v>
      </c>
      <c r="G10" s="391"/>
      <c r="H10" s="55"/>
    </row>
    <row r="11" spans="3:12" ht="133.9" customHeight="1" x14ac:dyDescent="0.25">
      <c r="C11" s="54"/>
      <c r="D11" s="390">
        <v>4</v>
      </c>
      <c r="E11" s="352" t="s">
        <v>493</v>
      </c>
      <c r="F11" s="48" t="s">
        <v>1579</v>
      </c>
      <c r="G11" s="391"/>
      <c r="H11" s="55"/>
    </row>
    <row r="12" spans="3:12" ht="134.44999999999999" customHeight="1" x14ac:dyDescent="0.25">
      <c r="C12" s="54"/>
      <c r="D12" s="390">
        <v>5</v>
      </c>
      <c r="E12" s="352" t="s">
        <v>491</v>
      </c>
      <c r="F12" s="48" t="s">
        <v>1580</v>
      </c>
      <c r="G12" s="391"/>
      <c r="H12" s="55"/>
    </row>
    <row r="13" spans="3:12" ht="136.9" customHeight="1" x14ac:dyDescent="0.25">
      <c r="C13" s="54"/>
      <c r="D13" s="390">
        <v>6</v>
      </c>
      <c r="E13" s="352" t="s">
        <v>498</v>
      </c>
      <c r="F13" s="48" t="s">
        <v>1581</v>
      </c>
      <c r="G13" s="391"/>
      <c r="H13" s="55"/>
    </row>
    <row r="14" spans="3:12" ht="142.9" customHeight="1" x14ac:dyDescent="0.25">
      <c r="C14" s="54"/>
      <c r="D14" s="390">
        <v>7</v>
      </c>
      <c r="E14" s="352" t="s">
        <v>497</v>
      </c>
      <c r="F14" s="48" t="s">
        <v>1582</v>
      </c>
      <c r="G14" s="391"/>
      <c r="H14" s="55"/>
    </row>
    <row r="15" spans="3:12" ht="142.15" customHeight="1" x14ac:dyDescent="0.25">
      <c r="C15" s="54"/>
      <c r="D15" s="390">
        <v>8</v>
      </c>
      <c r="E15" s="352" t="s">
        <v>492</v>
      </c>
      <c r="F15" s="48" t="s">
        <v>1583</v>
      </c>
      <c r="G15" s="391"/>
      <c r="H15" s="55"/>
    </row>
    <row r="16" spans="3:12" ht="134.44999999999999" customHeight="1" x14ac:dyDescent="0.25">
      <c r="C16" s="54"/>
      <c r="D16" s="390">
        <v>9</v>
      </c>
      <c r="E16" s="352" t="s">
        <v>499</v>
      </c>
      <c r="F16" s="48" t="s">
        <v>1584</v>
      </c>
      <c r="G16" s="391"/>
      <c r="H16" s="55"/>
    </row>
    <row r="17" spans="3:8" ht="116.25" x14ac:dyDescent="0.25">
      <c r="C17" s="54"/>
      <c r="D17" s="390">
        <v>10</v>
      </c>
      <c r="E17" s="352" t="s">
        <v>494</v>
      </c>
      <c r="F17" s="48" t="s">
        <v>1585</v>
      </c>
      <c r="G17" s="391"/>
      <c r="H17" s="55"/>
    </row>
    <row r="18" spans="3:8" ht="116.25" x14ac:dyDescent="0.25">
      <c r="C18" s="54"/>
      <c r="D18" s="390">
        <v>11</v>
      </c>
      <c r="E18" s="352" t="s">
        <v>496</v>
      </c>
      <c r="F18" s="48" t="s">
        <v>1586</v>
      </c>
      <c r="G18" s="391"/>
      <c r="H18" s="55"/>
    </row>
    <row r="19" spans="3:8" ht="139.5" x14ac:dyDescent="0.25">
      <c r="C19" s="54"/>
      <c r="D19" s="390">
        <v>12</v>
      </c>
      <c r="E19" s="352" t="s">
        <v>500</v>
      </c>
      <c r="F19" s="48" t="s">
        <v>1587</v>
      </c>
      <c r="G19" s="391"/>
      <c r="H19" s="55"/>
    </row>
    <row r="20" spans="3:8" ht="69.75" x14ac:dyDescent="0.25">
      <c r="C20" s="54"/>
      <c r="D20" s="390">
        <v>13</v>
      </c>
      <c r="E20" s="352" t="s">
        <v>501</v>
      </c>
      <c r="F20" s="48" t="s">
        <v>1588</v>
      </c>
      <c r="G20" s="391"/>
      <c r="H20" s="55"/>
    </row>
    <row r="21" spans="3:8" ht="93" x14ac:dyDescent="0.25">
      <c r="C21" s="54"/>
      <c r="D21" s="390">
        <v>14</v>
      </c>
      <c r="E21" s="352" t="s">
        <v>291</v>
      </c>
      <c r="F21" s="48" t="s">
        <v>1589</v>
      </c>
      <c r="G21" s="391"/>
      <c r="H21" s="55"/>
    </row>
    <row r="22" spans="3:8" ht="139.5" x14ac:dyDescent="0.25">
      <c r="C22" s="54"/>
      <c r="D22" s="390">
        <v>15</v>
      </c>
      <c r="E22" s="352" t="s">
        <v>502</v>
      </c>
      <c r="F22" s="48" t="s">
        <v>1590</v>
      </c>
      <c r="G22" s="391"/>
      <c r="H22" s="55"/>
    </row>
    <row r="23" spans="3:8" ht="69.75" x14ac:dyDescent="0.25">
      <c r="C23" s="54"/>
      <c r="D23" s="390">
        <v>16</v>
      </c>
      <c r="E23" s="352" t="s">
        <v>555</v>
      </c>
      <c r="F23" s="48" t="s">
        <v>1591</v>
      </c>
      <c r="G23" s="391"/>
      <c r="H23" s="55"/>
    </row>
    <row r="24" spans="3:8" ht="139.5" x14ac:dyDescent="0.25">
      <c r="C24" s="54"/>
      <c r="D24" s="390">
        <v>17</v>
      </c>
      <c r="E24" s="352" t="s">
        <v>548</v>
      </c>
      <c r="F24" s="48" t="s">
        <v>1592</v>
      </c>
      <c r="G24" s="391"/>
      <c r="H24" s="55"/>
    </row>
    <row r="25" spans="3:8" ht="117" customHeight="1" x14ac:dyDescent="0.25">
      <c r="C25" s="54"/>
      <c r="D25" s="390">
        <v>18</v>
      </c>
      <c r="E25" s="352" t="s">
        <v>547</v>
      </c>
      <c r="F25" s="48" t="s">
        <v>1593</v>
      </c>
      <c r="G25" s="391"/>
      <c r="H25" s="55"/>
    </row>
    <row r="26" spans="3:8" ht="93" x14ac:dyDescent="0.25">
      <c r="C26" s="54"/>
      <c r="D26" s="390">
        <v>19</v>
      </c>
      <c r="E26" s="352" t="s">
        <v>503</v>
      </c>
      <c r="F26" s="48" t="s">
        <v>1461</v>
      </c>
      <c r="G26" s="391"/>
      <c r="H26" s="55"/>
    </row>
    <row r="27" spans="3:8" ht="69.75" x14ac:dyDescent="0.25">
      <c r="C27" s="54"/>
      <c r="D27" s="390">
        <v>20</v>
      </c>
      <c r="E27" s="352" t="s">
        <v>223</v>
      </c>
      <c r="F27" s="48" t="s">
        <v>1594</v>
      </c>
      <c r="G27" s="391"/>
      <c r="H27" s="55"/>
    </row>
    <row r="28" spans="3:8" ht="69.75" x14ac:dyDescent="0.25">
      <c r="C28" s="54"/>
      <c r="D28" s="390">
        <v>21</v>
      </c>
      <c r="E28" s="352" t="s">
        <v>351</v>
      </c>
      <c r="F28" s="49" t="s">
        <v>1595</v>
      </c>
      <c r="G28" s="391"/>
      <c r="H28" s="55"/>
    </row>
    <row r="29" spans="3:8" ht="55.15" customHeight="1" x14ac:dyDescent="0.25">
      <c r="C29" s="54"/>
      <c r="D29" s="390">
        <v>22</v>
      </c>
      <c r="E29" s="352" t="s">
        <v>275</v>
      </c>
      <c r="F29" s="48" t="s">
        <v>1484</v>
      </c>
      <c r="G29" s="391"/>
      <c r="H29" s="55"/>
    </row>
    <row r="30" spans="3:8" ht="46.5" x14ac:dyDescent="0.25">
      <c r="C30" s="54"/>
      <c r="D30" s="390">
        <v>23</v>
      </c>
      <c r="E30" s="352" t="s">
        <v>451</v>
      </c>
      <c r="F30" s="48" t="s">
        <v>1596</v>
      </c>
      <c r="G30" s="391"/>
      <c r="H30" s="55"/>
    </row>
    <row r="31" spans="3:8" ht="116.25" x14ac:dyDescent="0.35">
      <c r="C31" s="54"/>
      <c r="D31" s="390">
        <v>24</v>
      </c>
      <c r="E31" s="352" t="s">
        <v>504</v>
      </c>
      <c r="F31" s="513" t="s">
        <v>1597</v>
      </c>
      <c r="G31" s="391"/>
      <c r="H31" s="55"/>
    </row>
    <row r="32" spans="3:8" ht="69.75" x14ac:dyDescent="0.35">
      <c r="C32" s="54"/>
      <c r="D32" s="390">
        <v>25</v>
      </c>
      <c r="E32" s="352" t="s">
        <v>200</v>
      </c>
      <c r="F32" s="353" t="s">
        <v>1488</v>
      </c>
      <c r="G32" s="391"/>
      <c r="H32" s="55"/>
    </row>
    <row r="33" spans="3:8" ht="55.9" customHeight="1" thickBot="1" x14ac:dyDescent="0.3">
      <c r="C33" s="54"/>
      <c r="D33" s="514">
        <v>26</v>
      </c>
      <c r="E33" s="392" t="s">
        <v>201</v>
      </c>
      <c r="F33" s="393" t="s">
        <v>1598</v>
      </c>
      <c r="G33" s="394"/>
      <c r="H33" s="55"/>
    </row>
    <row r="34" spans="3:8" x14ac:dyDescent="0.25">
      <c r="D34" s="56"/>
      <c r="E34" s="56"/>
      <c r="F34" s="56"/>
      <c r="G34" s="56"/>
    </row>
  </sheetData>
  <mergeCells count="2">
    <mergeCell ref="D1:G5"/>
    <mergeCell ref="D6:G6"/>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B0624-8384-482C-8FF3-AA4B29437329}">
  <sheetPr codeName="Sheet11">
    <tabColor theme="8" tint="0.39997558519241921"/>
  </sheetPr>
  <dimension ref="A1:Y86"/>
  <sheetViews>
    <sheetView zoomScale="70" zoomScaleNormal="70" workbookViewId="0">
      <selection sqref="A1:C1"/>
    </sheetView>
  </sheetViews>
  <sheetFormatPr defaultColWidth="9.140625" defaultRowHeight="15" x14ac:dyDescent="0.25"/>
  <cols>
    <col min="1" max="1" width="45.140625" style="5" customWidth="1"/>
    <col min="2" max="2" width="20.42578125" style="5" customWidth="1"/>
    <col min="3" max="3" width="31" style="5" customWidth="1"/>
    <col min="4" max="4" width="31.28515625" style="5" customWidth="1"/>
    <col min="5" max="5" width="38.5703125" style="5" customWidth="1"/>
    <col min="6" max="6" width="32" style="5" customWidth="1"/>
    <col min="7" max="7" width="32.42578125" style="5" customWidth="1"/>
    <col min="8" max="8" width="33.28515625" style="5" customWidth="1"/>
    <col min="9" max="9" width="28.85546875" style="5" customWidth="1"/>
    <col min="10" max="10" width="27.5703125" style="5" customWidth="1"/>
    <col min="11" max="11" width="34.7109375" style="5" customWidth="1"/>
    <col min="12" max="12" width="38.85546875" style="5" customWidth="1"/>
    <col min="13" max="13" width="26.7109375" style="5" customWidth="1"/>
    <col min="14" max="14" width="29.5703125" style="5" customWidth="1"/>
    <col min="15" max="15" width="36.5703125" style="5" customWidth="1"/>
    <col min="16" max="16" width="9.140625" style="5" customWidth="1"/>
    <col min="17" max="17" width="38.7109375" style="5" customWidth="1"/>
    <col min="18" max="18" width="30.5703125" style="5" customWidth="1"/>
    <col min="19" max="19" width="26.42578125" style="5" customWidth="1"/>
    <col min="20" max="20" width="29.7109375" style="5" customWidth="1"/>
    <col min="21" max="21" width="27.42578125" style="5" customWidth="1"/>
    <col min="22" max="16384" width="9.140625" style="5"/>
  </cols>
  <sheetData>
    <row r="1" spans="1:21" ht="141" customHeight="1" x14ac:dyDescent="0.25">
      <c r="A1" s="1203" t="s">
        <v>545</v>
      </c>
      <c r="B1" s="1203"/>
      <c r="C1" s="1203"/>
      <c r="D1" s="1265" t="s">
        <v>1492</v>
      </c>
      <c r="E1" s="1265"/>
      <c r="F1" s="1265"/>
      <c r="G1" s="780"/>
      <c r="H1" s="780"/>
      <c r="I1" s="780"/>
      <c r="K1" s="1172" t="s">
        <v>516</v>
      </c>
      <c r="L1" s="57"/>
    </row>
    <row r="2" spans="1:21" x14ac:dyDescent="0.25">
      <c r="K2" s="1173"/>
      <c r="L2" s="57"/>
    </row>
    <row r="3" spans="1:21" ht="30" x14ac:dyDescent="0.25">
      <c r="B3" s="79" t="s">
        <v>255</v>
      </c>
      <c r="C3" s="80"/>
      <c r="K3" s="1174"/>
      <c r="L3" s="57"/>
    </row>
    <row r="4" spans="1:21" ht="25.5" x14ac:dyDescent="0.35">
      <c r="B4" s="434"/>
      <c r="C4" s="1291" t="s">
        <v>940</v>
      </c>
      <c r="D4" s="1292"/>
      <c r="E4" s="1292"/>
      <c r="F4" s="1293"/>
    </row>
    <row r="5" spans="1:21" ht="25.5" x14ac:dyDescent="0.35">
      <c r="B5" s="397"/>
      <c r="C5" s="412"/>
    </row>
    <row r="6" spans="1:21" ht="25.5" x14ac:dyDescent="0.35">
      <c r="B6" s="396"/>
      <c r="C6" s="412"/>
    </row>
    <row r="7" spans="1:21" ht="97.5" customHeight="1" thickBot="1" x14ac:dyDescent="0.35">
      <c r="G7" s="90" t="s">
        <v>1493</v>
      </c>
      <c r="H7" s="90" t="s">
        <v>1494</v>
      </c>
      <c r="K7" s="88" t="s">
        <v>1554</v>
      </c>
      <c r="L7" s="30" t="s">
        <v>532</v>
      </c>
    </row>
    <row r="8" spans="1:21" ht="96" customHeight="1" x14ac:dyDescent="0.25">
      <c r="E8" s="1298" t="s">
        <v>1194</v>
      </c>
      <c r="F8" s="1299"/>
      <c r="G8" s="1299"/>
      <c r="H8" s="1299"/>
      <c r="I8" s="1300"/>
      <c r="K8" s="1268" t="s">
        <v>1204</v>
      </c>
      <c r="L8" s="1268"/>
      <c r="M8" s="1268"/>
      <c r="N8" s="980" t="s">
        <v>945</v>
      </c>
      <c r="O8" s="345"/>
      <c r="Q8" s="345"/>
      <c r="R8" s="345"/>
      <c r="S8" s="345"/>
      <c r="T8" s="345"/>
      <c r="U8" s="345"/>
    </row>
    <row r="9" spans="1:21" ht="131.25" customHeight="1" x14ac:dyDescent="0.25">
      <c r="B9" s="30" t="s">
        <v>352</v>
      </c>
      <c r="E9" s="413" t="s">
        <v>624</v>
      </c>
      <c r="F9" s="85" t="s">
        <v>888</v>
      </c>
      <c r="G9" s="85" t="s">
        <v>889</v>
      </c>
      <c r="H9" s="85" t="s">
        <v>890</v>
      </c>
      <c r="I9" s="417" t="s">
        <v>891</v>
      </c>
      <c r="K9" s="1268"/>
      <c r="L9" s="1268"/>
      <c r="M9" s="1268"/>
      <c r="N9" s="97"/>
      <c r="O9" s="97"/>
      <c r="Q9" s="342"/>
      <c r="R9" s="97"/>
      <c r="S9" s="102"/>
      <c r="T9" s="97"/>
      <c r="U9" s="97"/>
    </row>
    <row r="10" spans="1:21" ht="96.75" customHeight="1" x14ac:dyDescent="0.25">
      <c r="B10" s="209" t="s">
        <v>263</v>
      </c>
      <c r="C10" s="209" t="s">
        <v>138</v>
      </c>
      <c r="E10" s="414" t="s">
        <v>892</v>
      </c>
      <c r="F10" s="436"/>
      <c r="G10" s="86" t="s">
        <v>1216</v>
      </c>
      <c r="H10" s="86" t="s">
        <v>1163</v>
      </c>
      <c r="I10" s="368" t="s">
        <v>1161</v>
      </c>
      <c r="K10" s="102"/>
      <c r="L10" s="373"/>
      <c r="M10" s="373"/>
      <c r="N10" s="374"/>
      <c r="O10" s="373"/>
      <c r="Q10" s="102"/>
      <c r="R10" s="343"/>
      <c r="S10" s="344"/>
      <c r="T10" s="344"/>
      <c r="U10" s="344"/>
    </row>
    <row r="11" spans="1:21" ht="161.25" customHeight="1" x14ac:dyDescent="0.25">
      <c r="B11" s="591" t="s">
        <v>6</v>
      </c>
      <c r="C11" s="592">
        <f>'25 Markup Notes'!C14</f>
        <v>0.25</v>
      </c>
      <c r="E11" s="415" t="s">
        <v>893</v>
      </c>
      <c r="F11" s="86" t="s">
        <v>163</v>
      </c>
      <c r="G11" s="436"/>
      <c r="H11" s="86" t="s">
        <v>1164</v>
      </c>
      <c r="I11" s="368" t="s">
        <v>1169</v>
      </c>
      <c r="K11" s="686"/>
      <c r="L11" s="373"/>
      <c r="M11" s="373"/>
      <c r="N11" s="373"/>
      <c r="O11" s="373"/>
      <c r="Q11" s="102"/>
      <c r="R11" s="344"/>
      <c r="S11" s="343"/>
      <c r="T11" s="344"/>
      <c r="U11" s="344"/>
    </row>
    <row r="12" spans="1:21" ht="111.75" customHeight="1" x14ac:dyDescent="0.25">
      <c r="B12" s="591" t="s">
        <v>7</v>
      </c>
      <c r="C12" s="592">
        <f>'25 Markup Notes'!C15</f>
        <v>0.35</v>
      </c>
      <c r="E12" s="414" t="s">
        <v>894</v>
      </c>
      <c r="F12" s="86" t="s">
        <v>1168</v>
      </c>
      <c r="G12" s="86" t="s">
        <v>1215</v>
      </c>
      <c r="H12" s="436"/>
      <c r="I12" s="368" t="s">
        <v>1166</v>
      </c>
      <c r="K12" s="102"/>
      <c r="L12" s="747"/>
      <c r="M12" s="373"/>
      <c r="N12" s="373"/>
      <c r="O12" s="373"/>
      <c r="Q12" s="102"/>
      <c r="R12" s="344"/>
      <c r="S12" s="344"/>
      <c r="T12" s="343"/>
      <c r="U12" s="344"/>
    </row>
    <row r="13" spans="1:21" ht="101.25" customHeight="1" thickBot="1" x14ac:dyDescent="0.3">
      <c r="E13" s="416" t="s">
        <v>895</v>
      </c>
      <c r="F13" s="370" t="s">
        <v>1168</v>
      </c>
      <c r="G13" s="370" t="s">
        <v>1217</v>
      </c>
      <c r="H13" s="370" t="s">
        <v>1167</v>
      </c>
      <c r="I13" s="439"/>
      <c r="K13" s="102"/>
      <c r="L13" s="373"/>
      <c r="M13" s="373"/>
      <c r="N13" s="374"/>
      <c r="O13" s="373"/>
      <c r="Q13" s="102"/>
      <c r="R13" s="344"/>
      <c r="S13" s="344"/>
      <c r="T13" s="344"/>
      <c r="U13" s="343"/>
    </row>
    <row r="14" spans="1:21" ht="16.5" customHeight="1" thickBot="1" x14ac:dyDescent="0.3">
      <c r="E14" s="24"/>
      <c r="F14" s="3"/>
      <c r="G14" s="25"/>
      <c r="H14" s="25"/>
      <c r="I14" s="25"/>
    </row>
    <row r="15" spans="1:21" ht="16.5" customHeight="1" x14ac:dyDescent="0.3">
      <c r="C15" s="1305" t="s">
        <v>1366</v>
      </c>
      <c r="D15" s="1306"/>
      <c r="E15" s="1306"/>
      <c r="F15" s="1306"/>
      <c r="G15" s="1306"/>
      <c r="H15" s="1306"/>
      <c r="I15" s="1306"/>
      <c r="J15" s="1306"/>
      <c r="K15" s="1306"/>
      <c r="L15" s="1306"/>
      <c r="M15" s="1306"/>
      <c r="N15" s="1307"/>
    </row>
    <row r="16" spans="1:21" ht="16.5" customHeight="1" x14ac:dyDescent="0.25">
      <c r="C16" s="742" t="s">
        <v>229</v>
      </c>
      <c r="D16" s="209" t="s">
        <v>1162</v>
      </c>
      <c r="E16" s="209" t="s">
        <v>1165</v>
      </c>
      <c r="F16" s="210" t="s">
        <v>376</v>
      </c>
      <c r="G16" s="210" t="s">
        <v>124</v>
      </c>
      <c r="H16" s="210" t="s">
        <v>808</v>
      </c>
      <c r="I16" s="211" t="s">
        <v>163</v>
      </c>
      <c r="J16" s="209" t="s">
        <v>158</v>
      </c>
      <c r="K16" s="209" t="s">
        <v>152</v>
      </c>
      <c r="L16" s="211" t="s">
        <v>122</v>
      </c>
      <c r="M16" s="743" t="s">
        <v>462</v>
      </c>
      <c r="N16" s="743" t="s">
        <v>1214</v>
      </c>
    </row>
    <row r="17" spans="1:16" ht="29.25" customHeight="1" x14ac:dyDescent="0.3">
      <c r="A17" s="87"/>
      <c r="B17" s="87"/>
      <c r="C17" s="766" t="s">
        <v>1367</v>
      </c>
      <c r="D17" s="725" t="s">
        <v>1157</v>
      </c>
      <c r="E17" s="725" t="s">
        <v>1157</v>
      </c>
      <c r="F17" s="691">
        <f>'14 Space Heating Detailed Costs'!F100</f>
        <v>4</v>
      </c>
      <c r="G17" s="691">
        <f>E58</f>
        <v>3</v>
      </c>
      <c r="H17" s="591" t="s">
        <v>1157</v>
      </c>
      <c r="I17" s="748" t="s">
        <v>1157</v>
      </c>
      <c r="J17" s="692">
        <f>'16 Water Heating Costs'!E76</f>
        <v>4.3989153230658946</v>
      </c>
      <c r="K17" s="691">
        <f>E76</f>
        <v>1.5</v>
      </c>
      <c r="L17" s="749">
        <f>'14 Space Heating Detailed Costs'!F42</f>
        <v>11.897125943043891</v>
      </c>
      <c r="M17" s="750">
        <f>'16 Water Heating Costs'!E76</f>
        <v>4.3989153230658946</v>
      </c>
      <c r="N17" s="808" t="s">
        <v>1157</v>
      </c>
      <c r="O17" s="87"/>
    </row>
    <row r="18" spans="1:16" ht="18" customHeight="1" x14ac:dyDescent="0.3">
      <c r="A18" s="87"/>
      <c r="B18" s="87"/>
      <c r="C18" s="766" t="s">
        <v>7</v>
      </c>
      <c r="D18" s="810" t="s">
        <v>1157</v>
      </c>
      <c r="E18" s="810" t="s">
        <v>1157</v>
      </c>
      <c r="F18" s="751">
        <f>'14 Space Heating Detailed Costs'!E100</f>
        <v>550</v>
      </c>
      <c r="G18" s="751">
        <f>C58</f>
        <v>370</v>
      </c>
      <c r="H18" s="752" t="s">
        <v>1157</v>
      </c>
      <c r="I18" s="753" t="s">
        <v>1157</v>
      </c>
      <c r="J18" s="694">
        <f>'16 Water Heating Costs'!D76</f>
        <v>0</v>
      </c>
      <c r="K18" s="694">
        <f>D76</f>
        <v>40</v>
      </c>
      <c r="L18" s="754">
        <f>'14 Space Heating Detailed Costs'!E42</f>
        <v>125.4</v>
      </c>
      <c r="M18" s="695">
        <f>'16 Water Heating Costs'!D76</f>
        <v>0</v>
      </c>
      <c r="N18" s="809" t="s">
        <v>1157</v>
      </c>
      <c r="O18" s="87"/>
    </row>
    <row r="19" spans="1:16" ht="14.25" customHeight="1" x14ac:dyDescent="0.3">
      <c r="A19" s="87"/>
      <c r="B19" s="87"/>
      <c r="C19" s="766"/>
      <c r="D19" s="755"/>
      <c r="E19" s="755"/>
      <c r="F19" s="756"/>
      <c r="G19" s="591"/>
      <c r="H19" s="591"/>
      <c r="I19" s="591"/>
      <c r="J19" s="591"/>
      <c r="K19" s="591"/>
      <c r="L19" s="748"/>
      <c r="M19" s="745"/>
      <c r="N19" s="745"/>
      <c r="O19" s="87"/>
      <c r="P19" s="87"/>
    </row>
    <row r="20" spans="1:16" ht="18.75" x14ac:dyDescent="0.3">
      <c r="A20" s="64"/>
      <c r="B20" s="87"/>
      <c r="C20" s="766" t="s">
        <v>32</v>
      </c>
      <c r="D20" s="694">
        <f>$C$40</f>
        <v>80</v>
      </c>
      <c r="E20" s="694">
        <f>$C$39</f>
        <v>50</v>
      </c>
      <c r="F20" s="757">
        <f>($F$17*'19 General Wages'!K9)*(1+'21 Sales Taxes'!G8+'19 General Wages'!L9)*(1+$C$11) + $F$18*(1+'21 Sales Taxes'!H8)*(1+$C$12)</f>
        <v>993.17869831704888</v>
      </c>
      <c r="G20" s="757">
        <f>($G$17*'19 General Wages'!K9)*(1+'21 Sales Taxes'!G8+'19 General Wages'!L9)*(1+$C$11) + $G$18*(1+'21 Sales Taxes'!H8)*(1+$C$12)</f>
        <v>684.32804848899173</v>
      </c>
      <c r="H20" s="757">
        <f t="shared" ref="H20:H29" si="0">$E$64</f>
        <v>100</v>
      </c>
      <c r="I20" s="758">
        <f t="shared" ref="I20:I29" si="1">$E$68</f>
        <v>100</v>
      </c>
      <c r="J20" s="517">
        <f>($J$17*'19 General Wages'!K9)*(1+'21 Sales Taxes'!G8+'19 General Wages'!L9)*(1+$C$11) + $J$18*(1+'21 Sales Taxes'!H8)*(1+$C$12)</f>
        <v>230.40763638462593</v>
      </c>
      <c r="K20" s="517">
        <f>($K$17*'19 General Wages'!K9)*(1+'21 Sales Taxes'!G8)*(1+$C$11) + $K$18*(1+'21 Sales Taxes'!H8)*(1+$C$12)</f>
        <v>117.38769911087851</v>
      </c>
      <c r="L20" s="759">
        <f>($L$17*'19 General Wages'!K9)*(1+'21 Sales Taxes'!G8+'19 General Wages'!L9)*(1+$C$11) + $L$18*(1+'21 Sales Taxes'!H8)*(1+$C$12)</f>
        <v>801.82679038879724</v>
      </c>
      <c r="M20" s="760">
        <f>($M$17*'19 General Wages'!K9)*(1+'21 Sales Taxes'!G8+'19 General Wages'!L9)*(1+$C$11) + $M$18*(1+'21 Sales Taxes'!H8)*(1+$C$12)</f>
        <v>230.40763638462593</v>
      </c>
      <c r="N20" s="760">
        <f>$C$41</f>
        <v>50</v>
      </c>
      <c r="O20" s="87"/>
      <c r="P20" s="87"/>
    </row>
    <row r="21" spans="1:16" ht="18.75" x14ac:dyDescent="0.3">
      <c r="A21" s="87"/>
      <c r="B21" s="87"/>
      <c r="C21" s="766" t="s">
        <v>60</v>
      </c>
      <c r="D21" s="694">
        <f t="shared" ref="D21:D29" si="2">$C$40</f>
        <v>80</v>
      </c>
      <c r="E21" s="694">
        <f t="shared" ref="E21:E29" si="3">$C$39</f>
        <v>50</v>
      </c>
      <c r="F21" s="757">
        <f>($F$17*'19 General Wages'!K10)*(1+'21 Sales Taxes'!G9+'19 General Wages'!L10)*(1+$C$11) + $F$18*(1+'21 Sales Taxes'!H9)*(1+$C$12)</f>
        <v>979.17848514359594</v>
      </c>
      <c r="G21" s="757">
        <f>($G$17*'19 General Wages'!K10)*(1+'21 Sales Taxes'!G9+'19 General Wages'!L10)*(1+$C$11) + $G$18*(1+'21 Sales Taxes'!H9)*(1+$C$12)</f>
        <v>674.16237171381852</v>
      </c>
      <c r="H21" s="757">
        <f t="shared" si="0"/>
        <v>100</v>
      </c>
      <c r="I21" s="758">
        <f t="shared" si="1"/>
        <v>100</v>
      </c>
      <c r="J21" s="517">
        <f>($J$17*'19 General Wages'!K10)*(1+'21 Sales Taxes'!G9+'19 General Wages'!L10)*(1+$C$11) + $J$18*(1+'21 Sales Taxes'!H9)*(1+$C$12)</f>
        <v>219.77148991230354</v>
      </c>
      <c r="K21" s="517">
        <f>($K$17*'19 General Wages'!K10)*(1+'21 Sales Taxes'!G9)*(1+$C$11) + $K$18*(1+'21 Sales Taxes'!H9)*(1+$C$12)</f>
        <v>114.11211734979091</v>
      </c>
      <c r="L21" s="759">
        <f>($L$17*'19 General Wages'!K10)*(1+'21 Sales Taxes'!G9+'19 General Wages'!L10)*(1+$C$11) + $L$18*(1+'21 Sales Taxes'!H9)*(1+$C$12)</f>
        <v>772.07378301105587</v>
      </c>
      <c r="M21" s="760">
        <f>($M$17*'19 General Wages'!K10)*(1+'21 Sales Taxes'!G9+'19 General Wages'!L10)*(1+$C$11) + $M$18*(1+'21 Sales Taxes'!H9)*(1+$C$12)</f>
        <v>219.77148991230354</v>
      </c>
      <c r="N21" s="760">
        <f t="shared" ref="N21:N29" si="4">$C$41</f>
        <v>50</v>
      </c>
      <c r="O21" s="87"/>
      <c r="P21" s="87"/>
    </row>
    <row r="22" spans="1:16" ht="18.75" x14ac:dyDescent="0.3">
      <c r="A22" s="94"/>
      <c r="B22" s="12"/>
      <c r="C22" s="766" t="s">
        <v>41</v>
      </c>
      <c r="D22" s="694">
        <f t="shared" si="2"/>
        <v>80</v>
      </c>
      <c r="E22" s="694">
        <f t="shared" si="3"/>
        <v>50</v>
      </c>
      <c r="F22" s="757">
        <f>($F$17*'19 General Wages'!K11)*(1+'21 Sales Taxes'!G10+'19 General Wages'!L11)*(1+$C$11) + $F$18*(1+'21 Sales Taxes'!H10)*(1+$C$12)</f>
        <v>982.63918170388138</v>
      </c>
      <c r="G22" s="757">
        <f>($G$17*'19 General Wages'!K11)*(1+'21 Sales Taxes'!G10+'19 General Wages'!L11)*(1+$C$11) + $G$18*(1+'21 Sales Taxes'!H10)*(1+$C$12)</f>
        <v>675.72796185682944</v>
      </c>
      <c r="H22" s="757">
        <f t="shared" si="0"/>
        <v>100</v>
      </c>
      <c r="I22" s="758">
        <f t="shared" si="1"/>
        <v>100</v>
      </c>
      <c r="J22" s="517">
        <f>($J$17*'19 General Wages'!K11)*(1+'21 Sales Taxes'!G10+'19 General Wages'!L11)*(1+$C$11) + $J$18*(1+'21 Sales Taxes'!H10)*(1+$C$12)</f>
        <v>208.91954309565466</v>
      </c>
      <c r="K22" s="517">
        <f>($K$17*'19 General Wages'!J11)*(1+'21 Sales Taxes'!G10)*(1+$C$11) + $K$18*(1+'21 Sales Taxes'!H10)*(1+C$12)</f>
        <v>121.96108262826587</v>
      </c>
      <c r="L22" s="759">
        <f>($L$17*'19 General Wages'!K11)*(1+'21 Sales Taxes'!G10+'19 General Wages'!L11)*(1+$C$11) + $L$18*(1+'21 Sales Taxes'!H10)*(1+$C$12)</f>
        <v>745.76295884853005</v>
      </c>
      <c r="M22" s="760">
        <f>($M$17*'19 General Wages'!K11)*(1+'21 Sales Taxes'!G10+'19 General Wages'!L11)*(1+$C$11) + $M$18*(1+'21 Sales Taxes'!H10)*(1+$C$12)</f>
        <v>208.91954309565466</v>
      </c>
      <c r="N22" s="760">
        <f t="shared" si="4"/>
        <v>50</v>
      </c>
      <c r="O22" s="87"/>
      <c r="P22" s="87"/>
    </row>
    <row r="23" spans="1:16" ht="18.75" x14ac:dyDescent="0.3">
      <c r="A23" s="64"/>
      <c r="B23" s="95"/>
      <c r="C23" s="766" t="s">
        <v>44</v>
      </c>
      <c r="D23" s="694">
        <f t="shared" si="2"/>
        <v>80</v>
      </c>
      <c r="E23" s="694">
        <f t="shared" si="3"/>
        <v>50</v>
      </c>
      <c r="F23" s="757">
        <f>($F$17*'19 General Wages'!K12)*(1+'21 Sales Taxes'!G11+'19 General Wages'!L12)*(1+$C$11) + $F$18*(1+'21 Sales Taxes'!H11)*(1+$C$12)</f>
        <v>990.87241040539061</v>
      </c>
      <c r="G23" s="757">
        <f>($G$17*'19 General Wages'!K12)*(1+'21 Sales Taxes'!G11+'19 General Wages'!L12)*(1+$C$11) + $G$18*(1+'21 Sales Taxes'!H11)*(1+$C$12)</f>
        <v>681.55973605080044</v>
      </c>
      <c r="H23" s="757">
        <f t="shared" si="0"/>
        <v>100</v>
      </c>
      <c r="I23" s="758">
        <f t="shared" si="1"/>
        <v>100</v>
      </c>
      <c r="J23" s="517">
        <f>($J$17*'19 General Wages'!K12)*(1+'21 Sales Taxes'!G11+'19 General Wages'!L12)*(1+$C$11) + $J$18*(1+'21 Sales Taxes'!H11)*(1+$C$12)</f>
        <v>213.09026305940023</v>
      </c>
      <c r="K23" s="517">
        <f>($K$17*'19 General Wages'!K12)*(1+'21 Sales Taxes'!G11)*(1+$C$11) + $K$18*(1+'21 Sales Taxes'!H11)*(1+$C$12)</f>
        <v>114.05095445902185</v>
      </c>
      <c r="L23" s="759">
        <f>($L$17*'19 General Wages'!K12)*(1+'21 Sales Taxes'!G11+'19 General Wages'!L12)*(1+$C$11) + $L$18*(1+'21 Sales Taxes'!H11)*(1+$C$12)</f>
        <v>758.05540346438022</v>
      </c>
      <c r="M23" s="760">
        <f>($M$17*'19 General Wages'!K12)*(1+'21 Sales Taxes'!G11+'19 General Wages'!L12)*(1+$C$11) + $M$18*(1+'21 Sales Taxes'!H11)*(1+$C$12)</f>
        <v>213.09026305940023</v>
      </c>
      <c r="N23" s="760">
        <f t="shared" si="4"/>
        <v>50</v>
      </c>
      <c r="O23" s="87"/>
      <c r="P23" s="87"/>
    </row>
    <row r="24" spans="1:16" ht="18.75" x14ac:dyDescent="0.3">
      <c r="A24" s="64"/>
      <c r="B24" s="95"/>
      <c r="C24" s="766" t="s">
        <v>34</v>
      </c>
      <c r="D24" s="694">
        <f t="shared" si="2"/>
        <v>80</v>
      </c>
      <c r="E24" s="694">
        <f t="shared" si="3"/>
        <v>50</v>
      </c>
      <c r="F24" s="757">
        <f>($F$17*'19 General Wages'!K13)*(1+'21 Sales Taxes'!G12+'19 General Wages'!L13)*(1+$C$11) + $F$18*(1+'21 Sales Taxes'!H12)*(1+$C$12)</f>
        <v>953.29569427859985</v>
      </c>
      <c r="G24" s="757">
        <f>($G$17*'19 General Wages'!K13)*(1+'21 Sales Taxes'!G12+'19 General Wages'!L13)*(1+$C$11) + $G$18*(1+'21 Sales Taxes'!H12)*(1+$C$12)</f>
        <v>653.97778849743281</v>
      </c>
      <c r="H24" s="757">
        <f t="shared" si="0"/>
        <v>100</v>
      </c>
      <c r="I24" s="758">
        <f t="shared" si="1"/>
        <v>100</v>
      </c>
      <c r="J24" s="517">
        <f>($J$17*'19 General Wages'!K13)*(1+'21 Sales Taxes'!G12+'19 General Wages'!L13)*(1+$C$11) + $J$18*(1+'21 Sales Taxes'!H12)*(1+$C$12)</f>
        <v>180.31352612149587</v>
      </c>
      <c r="K24" s="517">
        <f>($K$17*'19 General Wages'!K13)*(1+'21 Sales Taxes'!G12)*(1+$C$11) + $K$18*(1+'21 Sales Taxes'!H12)*(1+$C$12)</f>
        <v>105.70541877887752</v>
      </c>
      <c r="L24" s="759">
        <f>($L$17*'19 General Wages'!K13)*(1+'21 Sales Taxes'!G12+'19 General Wages'!L13)*(1+$C$11) + $L$18*(1+'21 Sales Taxes'!H12)*(1+$C$12)</f>
        <v>667.63669277960412</v>
      </c>
      <c r="M24" s="760">
        <f>($M$17*'19 General Wages'!K13)*(1+'21 Sales Taxes'!G12+'19 General Wages'!L13)*(1+$C$11) + $M$18*(1+'21 Sales Taxes'!H12)*(1+$C$12)</f>
        <v>180.31352612149587</v>
      </c>
      <c r="N24" s="760">
        <f t="shared" si="4"/>
        <v>50</v>
      </c>
      <c r="O24" s="87"/>
      <c r="P24" s="87"/>
    </row>
    <row r="25" spans="1:16" ht="18.75" x14ac:dyDescent="0.3">
      <c r="A25" s="87"/>
      <c r="B25" s="87"/>
      <c r="C25" s="766" t="s">
        <v>20</v>
      </c>
      <c r="D25" s="694">
        <f t="shared" si="2"/>
        <v>80</v>
      </c>
      <c r="E25" s="694">
        <f t="shared" si="3"/>
        <v>50</v>
      </c>
      <c r="F25" s="757">
        <f>($F$17*'19 General Wages'!K14)*(1+'21 Sales Taxes'!G13+'19 General Wages'!L14)*(1+$C$11) + $F$18*(1+'21 Sales Taxes'!H13)*(1+$C$12)</f>
        <v>956.47005451530117</v>
      </c>
      <c r="G25" s="757">
        <f>($G$17*'19 General Wages'!K14)*(1+'21 Sales Taxes'!G13+'19 General Wages'!L14)*(1+$C$11) + $G$18*(1+'21 Sales Taxes'!H13)*(1+$C$12)</f>
        <v>655.50331534388874</v>
      </c>
      <c r="H25" s="757">
        <f t="shared" si="0"/>
        <v>100</v>
      </c>
      <c r="I25" s="758">
        <f t="shared" si="1"/>
        <v>100</v>
      </c>
      <c r="J25" s="517">
        <f>($J$17*'19 General Wages'!K14)*(1+'21 Sales Taxes'!G13+'19 General Wages'!L14)*(1+$C$11) + $J$18*(1+'21 Sales Taxes'!H13)*(1+$C$12)</f>
        <v>171.63282249481821</v>
      </c>
      <c r="K25" s="517">
        <f>($K$17*'19 General Wages'!K14)*(1+'21 Sales Taxes'!G13)*(1+$C$11) + $K$18*(1+'21 Sales Taxes'!H13)*(1+$C$12)</f>
        <v>104.4346837096419</v>
      </c>
      <c r="L25" s="759">
        <f>($L$17*'19 General Wages'!K14)*(1+'21 Sales Taxes'!G13+'19 General Wages'!L14)*(1+$C$11) + $L$18*(1+'21 Sales Taxes'!H13)*(1+$C$12)</f>
        <v>646.68268873685156</v>
      </c>
      <c r="M25" s="760">
        <f>($M$17*'19 General Wages'!K14)*(1+'21 Sales Taxes'!G13+'19 General Wages'!L14)*(1+$C$11) + $M$18*(1+'21 Sales Taxes'!H13)*(1+$C$12)</f>
        <v>171.63282249481821</v>
      </c>
      <c r="N25" s="760">
        <f t="shared" si="4"/>
        <v>50</v>
      </c>
      <c r="O25" s="87"/>
      <c r="P25" s="87"/>
    </row>
    <row r="26" spans="1:16" ht="18.75" x14ac:dyDescent="0.3">
      <c r="A26" s="64"/>
      <c r="B26" s="95"/>
      <c r="C26" s="766" t="s">
        <v>27</v>
      </c>
      <c r="D26" s="694">
        <f t="shared" si="2"/>
        <v>80</v>
      </c>
      <c r="E26" s="694">
        <f t="shared" si="3"/>
        <v>50</v>
      </c>
      <c r="F26" s="757">
        <f>($F$17*'19 General Wages'!K15)*(1+'21 Sales Taxes'!G14+'19 General Wages'!L15)*(1+$C$11) + $F$18*(1+'21 Sales Taxes'!H14)*(1+$C$12)</f>
        <v>983.59236563235959</v>
      </c>
      <c r="G26" s="757">
        <f>($G$17*'19 General Wages'!K15)*(1+'21 Sales Taxes'!G14+'19 General Wages'!L15)*(1+$C$11) + $G$18*(1+'21 Sales Taxes'!H14)*(1+$C$12)</f>
        <v>674.8747155112834</v>
      </c>
      <c r="H26" s="757">
        <f t="shared" si="0"/>
        <v>100</v>
      </c>
      <c r="I26" s="758">
        <f t="shared" si="1"/>
        <v>100</v>
      </c>
      <c r="J26" s="517">
        <f>($J$17*'19 General Wages'!K15)*(1+'21 Sales Taxes'!G14+'19 General Wages'!L15)*(1+$C$11) + $J$18*(1+'21 Sales Taxes'!H14)*(1+$C$12)</f>
        <v>187.65043705513926</v>
      </c>
      <c r="K26" s="517">
        <f>($K$17*'19 General Wages'!K15)*(1+'21 Sales Taxes'!G14)*(1+$C$11) + $K$18*(1+'21 Sales Taxes'!H14)*(1+$C$12)</f>
        <v>110.41637362579867</v>
      </c>
      <c r="L26" s="759">
        <f>($L$17*'19 General Wages'!K15)*(1+'21 Sales Taxes'!G14+'19 General Wages'!L15)*(1+$C$11) + $L$18*(1+'21 Sales Taxes'!H14)*(1+$C$12)</f>
        <v>692.86632568482969</v>
      </c>
      <c r="M26" s="760">
        <f>($M$17*'19 General Wages'!K15)*(1+'21 Sales Taxes'!G14+'19 General Wages'!L15)*(1+$C$11) + $M$18*(1+'21 Sales Taxes'!H14)*(1+$C$12)</f>
        <v>187.65043705513926</v>
      </c>
      <c r="N26" s="760">
        <f t="shared" si="4"/>
        <v>50</v>
      </c>
      <c r="O26" s="87"/>
      <c r="P26" s="87"/>
    </row>
    <row r="27" spans="1:16" ht="18.75" x14ac:dyDescent="0.3">
      <c r="A27" s="64"/>
      <c r="B27" s="87"/>
      <c r="C27" s="766" t="s">
        <v>25</v>
      </c>
      <c r="D27" s="694">
        <f t="shared" si="2"/>
        <v>80</v>
      </c>
      <c r="E27" s="694">
        <f t="shared" si="3"/>
        <v>50</v>
      </c>
      <c r="F27" s="757">
        <f>($F$17*'19 General Wages'!K16)*(1+'21 Sales Taxes'!G15+'19 General Wages'!L16)*(1+$C$11) + $F$18*(1+'21 Sales Taxes'!H15)*(1+$C$12)</f>
        <v>974.4721170121702</v>
      </c>
      <c r="G27" s="757">
        <f>($G$17*'19 General Wages'!K16)*(1+'21 Sales Taxes'!G15+'19 General Wages'!L16)*(1+$C$11) + $G$18*(1+'21 Sales Taxes'!H15)*(1+$C$12)</f>
        <v>669.19239952936425</v>
      </c>
      <c r="H27" s="757">
        <f t="shared" si="0"/>
        <v>100</v>
      </c>
      <c r="I27" s="758">
        <f t="shared" si="1"/>
        <v>100</v>
      </c>
      <c r="J27" s="517">
        <f>($J$17*'19 General Wages'!K16)*(1+'21 Sales Taxes'!G15+'19 General Wages'!L16)*(1+$C$11) + $J$18*(1+'21 Sales Taxes'!H15)*(1+$C$12)</f>
        <v>194.09920032685432</v>
      </c>
      <c r="K27" s="517">
        <f>($K$17*'19 General Wages'!K16)*(1+'21 Sales Taxes'!G15)*(1+$C$11) + $K$18*(1+'21 Sales Taxes'!H15)*(1+$C$12)</f>
        <v>109.78533626831151</v>
      </c>
      <c r="L27" s="759">
        <f>($L$17*'19 General Wages'!K16)*(1+'21 Sales Taxes'!G15+'19 General Wages'!L16)*(1+$C$11) + $L$18*(1+'21 Sales Taxes'!H15)*(1+$C$12)</f>
        <v>706.89098728099975</v>
      </c>
      <c r="M27" s="760">
        <f>($M$17*'19 General Wages'!K16)*(1+'21 Sales Taxes'!G15+'19 General Wages'!L16)*(1+$C$11) + $M$18*(1+'21 Sales Taxes'!H15)*(1+$C$12)</f>
        <v>194.09920032685432</v>
      </c>
      <c r="N27" s="760">
        <f t="shared" si="4"/>
        <v>50</v>
      </c>
      <c r="O27" s="87"/>
      <c r="P27" s="87"/>
    </row>
    <row r="28" spans="1:16" ht="18.75" x14ac:dyDescent="0.3">
      <c r="A28" s="64"/>
      <c r="B28" s="87"/>
      <c r="C28" s="766" t="s">
        <v>23</v>
      </c>
      <c r="D28" s="694">
        <f t="shared" si="2"/>
        <v>80</v>
      </c>
      <c r="E28" s="694">
        <f t="shared" si="3"/>
        <v>50</v>
      </c>
      <c r="F28" s="757">
        <f>($F$17*'19 General Wages'!K17)*(1+'21 Sales Taxes'!G16+'19 General Wages'!L17)*(1+$C$11) + $F$18*(1+'21 Sales Taxes'!H16)*(1+$C$12)</f>
        <v>1018.156953068667</v>
      </c>
      <c r="G28" s="757">
        <f>($G$17*'19 General Wages'!K17)*(1+'21 Sales Taxes'!G16+'19 General Wages'!L17)*(1+$C$11) + $G$18*(1+'21 Sales Taxes'!H16)*(1+$C$12)</f>
        <v>701.36047549066325</v>
      </c>
      <c r="H28" s="757">
        <f t="shared" si="0"/>
        <v>100</v>
      </c>
      <c r="I28" s="758">
        <f t="shared" si="1"/>
        <v>100</v>
      </c>
      <c r="J28" s="517">
        <f>($J$17*'19 General Wages'!K17)*(1+'21 Sales Taxes'!G16+'19 General Wages'!L17)*(1+$C$11) + $J$18*(1+'21 Sales Taxes'!H16)*(1+$C$12)</f>
        <v>233.66491914130455</v>
      </c>
      <c r="K28" s="517">
        <f>($K$17*'19 General Wages'!K17)*(1+'21 Sales Taxes'!G16)*(1+$C$11) + $K$18*(1+'21 Sales Taxes'!H16)*(1+$C$12)</f>
        <v>120.4051268049877</v>
      </c>
      <c r="L28" s="759">
        <f>($L$17*'19 General Wages'!K17)*(1+'21 Sales Taxes'!G16+'19 General Wages'!L17)*(1+$C$11) + $L$18*(1+'21 Sales Taxes'!H16)*(1+$C$12)</f>
        <v>815.65603344816532</v>
      </c>
      <c r="M28" s="760">
        <f>($M$17*'19 General Wages'!K17)*(1+'21 Sales Taxes'!G16+'19 General Wages'!L17)*(1+$C$11) + $M$18*(1+'21 Sales Taxes'!H16)*(1+$C$12)</f>
        <v>233.66491914130455</v>
      </c>
      <c r="N28" s="760">
        <f t="shared" si="4"/>
        <v>50</v>
      </c>
      <c r="O28" s="87"/>
      <c r="P28" s="87"/>
    </row>
    <row r="29" spans="1:16" ht="19.5" thickBot="1" x14ac:dyDescent="0.35">
      <c r="A29" s="64"/>
      <c r="B29" s="95"/>
      <c r="C29" s="767" t="s">
        <v>151</v>
      </c>
      <c r="D29" s="697">
        <f t="shared" si="2"/>
        <v>80</v>
      </c>
      <c r="E29" s="697">
        <f t="shared" si="3"/>
        <v>50</v>
      </c>
      <c r="F29" s="761">
        <f>($F$17*'19 General Wages'!K18)*(1+'21 Sales Taxes'!G17+'19 General Wages'!L18)*(1+$C$11) + $F$18*(1+'21 Sales Taxes'!H17)*(1+$C$12)</f>
        <v>979.53788644511599</v>
      </c>
      <c r="G29" s="761">
        <f>($G$17*'19 General Wages'!K18)*(1+'21 Sales Taxes'!G17+'19 General Wages'!L18)*(1+$C$11) + $G$18*(1+'21 Sales Taxes'!H17)*(1+$C$12)</f>
        <v>673.16827300735577</v>
      </c>
      <c r="H29" s="761">
        <f t="shared" si="0"/>
        <v>100</v>
      </c>
      <c r="I29" s="762">
        <f t="shared" si="1"/>
        <v>100</v>
      </c>
      <c r="J29" s="763">
        <f>($J$17*'19 General Wages'!K18)*(1+'21 Sales Taxes'!G17+'19 General Wages'!L18)*(1+$C$11) + $J$18*(1+'21 Sales Taxes'!H17)*(1+$C$12)</f>
        <v>202.18274345314316</v>
      </c>
      <c r="K29" s="763">
        <f>($K$17*'19 General Wages'!K18)*(1+'21 Sales Taxes'!G17)*(1+$C$11) + $K$18*(1+'21 Sales Taxes'!H17)*(1+$C$12)</f>
        <v>111.54120967444534</v>
      </c>
      <c r="L29" s="764">
        <f>($L$17*'19 General Wages'!K18)*(1+'21 Sales Taxes'!G17+'19 General Wages'!L18)*(1+$C$11) + $L$18*(1+'21 Sales Taxes'!H17)*(1+$C$12)</f>
        <v>728.23249069987173</v>
      </c>
      <c r="M29" s="765">
        <f>($M$17*'19 General Wages'!K18)*(1+'21 Sales Taxes'!G17+'19 General Wages'!L18)*(1+$C$11) + $M$18*(1+'21 Sales Taxes'!H17)*(1+$C$12)</f>
        <v>202.18274345314316</v>
      </c>
      <c r="N29" s="765">
        <f t="shared" si="4"/>
        <v>50</v>
      </c>
      <c r="O29" s="87"/>
      <c r="P29" s="87"/>
    </row>
    <row r="30" spans="1:16" ht="20.25" x14ac:dyDescent="0.3">
      <c r="C30" s="1301" t="s">
        <v>1156</v>
      </c>
      <c r="D30" s="1301"/>
      <c r="E30" s="1301"/>
      <c r="F30" s="1301"/>
      <c r="G30" s="1301"/>
    </row>
    <row r="31" spans="1:16" ht="20.25" x14ac:dyDescent="0.3">
      <c r="A31" s="270"/>
      <c r="B31" s="270"/>
      <c r="C31" s="1302" t="s">
        <v>1442</v>
      </c>
      <c r="D31" s="1302"/>
      <c r="E31" s="1302"/>
      <c r="F31" s="1302"/>
      <c r="G31" s="950" t="s">
        <v>278</v>
      </c>
    </row>
    <row r="32" spans="1:16" ht="20.25" x14ac:dyDescent="0.3">
      <c r="A32" s="102"/>
      <c r="B32" s="102"/>
      <c r="C32" s="1303" t="s">
        <v>1441</v>
      </c>
      <c r="D32" s="1303"/>
      <c r="E32" s="1303"/>
      <c r="F32" s="1303"/>
      <c r="G32" s="951" t="s">
        <v>1155</v>
      </c>
    </row>
    <row r="33" spans="1:25" x14ac:dyDescent="0.25">
      <c r="A33" s="158"/>
      <c r="B33" s="269"/>
      <c r="C33" s="234"/>
      <c r="D33" s="234"/>
      <c r="E33" s="234"/>
      <c r="F33" s="234"/>
      <c r="G33" s="234"/>
    </row>
    <row r="34" spans="1:25" ht="20.25" customHeight="1" x14ac:dyDescent="0.3">
      <c r="A34" s="569"/>
      <c r="B34" s="700"/>
      <c r="C34" s="1304" t="s">
        <v>1157</v>
      </c>
      <c r="D34" s="741" t="s">
        <v>1159</v>
      </c>
      <c r="E34" s="234"/>
      <c r="F34" s="234"/>
      <c r="G34" s="234"/>
      <c r="H34" s="87"/>
      <c r="I34" s="87"/>
      <c r="J34" s="87"/>
      <c r="K34" s="87"/>
      <c r="L34" s="87"/>
      <c r="M34" s="87"/>
      <c r="N34" s="87"/>
      <c r="O34" s="87"/>
      <c r="P34" s="87"/>
      <c r="Q34" s="87"/>
    </row>
    <row r="35" spans="1:25" ht="20.25" customHeight="1" x14ac:dyDescent="0.3">
      <c r="A35" s="64"/>
      <c r="B35" s="95"/>
      <c r="C35" s="1304"/>
      <c r="D35" s="741" t="s">
        <v>1158</v>
      </c>
      <c r="E35" s="234"/>
      <c r="F35" s="234"/>
      <c r="G35" s="234"/>
      <c r="H35" s="87"/>
      <c r="I35" s="87"/>
      <c r="J35" s="87"/>
      <c r="K35" s="87"/>
      <c r="L35" s="87"/>
      <c r="M35" s="87"/>
      <c r="N35" s="87"/>
      <c r="O35" s="87"/>
      <c r="P35" s="87"/>
      <c r="Q35" s="87"/>
    </row>
    <row r="36" spans="1:25" ht="19.5" thickBot="1" x14ac:dyDescent="0.35">
      <c r="A36" s="64"/>
      <c r="B36" s="95"/>
      <c r="C36" s="87"/>
      <c r="D36" s="87"/>
      <c r="E36" s="87"/>
      <c r="F36" s="87"/>
      <c r="G36" s="93"/>
      <c r="H36" s="87"/>
      <c r="I36" s="87"/>
      <c r="J36" s="87"/>
      <c r="K36" s="87"/>
      <c r="L36" s="87"/>
      <c r="M36" s="87"/>
      <c r="N36" s="87"/>
      <c r="O36" s="87"/>
      <c r="P36" s="87"/>
      <c r="Q36" s="87"/>
    </row>
    <row r="37" spans="1:25" ht="18.75" x14ac:dyDescent="0.3">
      <c r="A37" s="1284" t="s">
        <v>457</v>
      </c>
      <c r="B37" s="1285"/>
      <c r="C37" s="1285"/>
      <c r="D37" s="1286"/>
      <c r="E37" s="87"/>
      <c r="F37" s="87"/>
      <c r="G37" s="93"/>
      <c r="H37" s="87"/>
      <c r="I37" s="87"/>
      <c r="J37" s="87"/>
      <c r="K37" s="87"/>
      <c r="L37" s="87"/>
      <c r="M37" s="87"/>
      <c r="N37" s="87"/>
      <c r="O37" s="87"/>
      <c r="P37" s="87"/>
      <c r="Q37" s="87"/>
    </row>
    <row r="38" spans="1:25" ht="18.75" x14ac:dyDescent="0.3">
      <c r="A38" s="1235" t="s">
        <v>1150</v>
      </c>
      <c r="B38" s="1236"/>
      <c r="C38" s="718" t="s">
        <v>353</v>
      </c>
      <c r="D38" s="719" t="s">
        <v>150</v>
      </c>
      <c r="F38" s="97"/>
      <c r="G38" s="97"/>
      <c r="H38" s="97"/>
      <c r="I38" s="87"/>
      <c r="J38" s="87"/>
      <c r="K38" s="87"/>
      <c r="L38" s="87"/>
      <c r="M38" s="87"/>
      <c r="N38" s="87"/>
      <c r="O38" s="87"/>
      <c r="P38" s="87"/>
      <c r="Q38" s="87"/>
    </row>
    <row r="39" spans="1:25" ht="18.75" customHeight="1" x14ac:dyDescent="0.3">
      <c r="A39" s="1294" t="s">
        <v>1368</v>
      </c>
      <c r="B39" s="1295"/>
      <c r="C39" s="717">
        <f>50</f>
        <v>50</v>
      </c>
      <c r="D39" s="720" t="s">
        <v>154</v>
      </c>
      <c r="G39" s="87"/>
      <c r="H39" s="87"/>
      <c r="I39" s="87"/>
      <c r="J39" s="87"/>
      <c r="K39" s="87"/>
      <c r="L39" s="87"/>
      <c r="M39" s="87"/>
      <c r="N39" s="87"/>
      <c r="O39" s="87"/>
      <c r="P39" s="87"/>
      <c r="Q39" s="87"/>
    </row>
    <row r="40" spans="1:25" ht="18.75" x14ac:dyDescent="0.3">
      <c r="A40" s="1294"/>
      <c r="B40" s="1295"/>
      <c r="C40" s="717">
        <f>80</f>
        <v>80</v>
      </c>
      <c r="D40" s="720" t="s">
        <v>156</v>
      </c>
      <c r="E40" s="30"/>
      <c r="F40" s="87"/>
      <c r="G40" s="87"/>
      <c r="H40" s="87"/>
      <c r="I40" s="87"/>
      <c r="J40" s="87"/>
      <c r="K40" s="87"/>
      <c r="L40" s="87"/>
      <c r="M40" s="87"/>
      <c r="N40" s="87"/>
      <c r="O40" s="87"/>
      <c r="P40" s="87"/>
      <c r="Q40" s="87"/>
    </row>
    <row r="41" spans="1:25" ht="58.5" customHeight="1" thickBot="1" x14ac:dyDescent="0.35">
      <c r="A41" s="1296"/>
      <c r="B41" s="1297"/>
      <c r="C41" s="721">
        <f>50</f>
        <v>50</v>
      </c>
      <c r="D41" s="722" t="s">
        <v>157</v>
      </c>
      <c r="E41" s="781" t="s">
        <v>569</v>
      </c>
      <c r="G41" s="87"/>
      <c r="H41" s="87"/>
      <c r="I41" s="87"/>
      <c r="J41" s="87"/>
      <c r="K41" s="87"/>
      <c r="L41" s="87"/>
      <c r="M41" s="87"/>
      <c r="N41" s="87"/>
      <c r="O41" s="87"/>
      <c r="P41" s="87"/>
      <c r="Q41" s="87"/>
    </row>
    <row r="42" spans="1:25" ht="18.75" x14ac:dyDescent="0.3">
      <c r="A42" s="1052" t="s">
        <v>153</v>
      </c>
      <c r="F42" s="96"/>
      <c r="O42" s="87"/>
      <c r="P42" s="87"/>
      <c r="Q42" s="87"/>
    </row>
    <row r="43" spans="1:25" ht="18.75" x14ac:dyDescent="0.3">
      <c r="A43" s="87"/>
      <c r="B43" s="87"/>
      <c r="C43" s="212"/>
      <c r="D43" s="213"/>
      <c r="O43" s="87"/>
      <c r="P43" s="87"/>
      <c r="Q43" s="87"/>
    </row>
    <row r="44" spans="1:25" ht="18.75" x14ac:dyDescent="0.3">
      <c r="A44" s="1272" t="s">
        <v>1394</v>
      </c>
      <c r="B44" s="1272"/>
      <c r="C44" s="1272"/>
      <c r="D44" s="1272"/>
      <c r="E44" s="1272"/>
      <c r="F44" s="1272"/>
      <c r="G44" s="1272"/>
      <c r="H44" s="1272"/>
      <c r="I44" s="1272"/>
      <c r="J44" s="1272"/>
      <c r="K44" s="1272"/>
      <c r="L44" s="99"/>
      <c r="M44" s="87"/>
      <c r="N44" s="212"/>
      <c r="O44" s="213"/>
      <c r="U44" s="87"/>
      <c r="V44" s="87"/>
      <c r="W44" s="87"/>
      <c r="X44" s="87"/>
      <c r="Y44" s="87"/>
    </row>
    <row r="45" spans="1:25" s="87" customFormat="1" ht="18.75" x14ac:dyDescent="0.3">
      <c r="A45" s="24" t="s">
        <v>298</v>
      </c>
      <c r="B45" s="24" t="s">
        <v>127</v>
      </c>
      <c r="C45" s="24" t="s">
        <v>239</v>
      </c>
      <c r="D45" s="24" t="s">
        <v>299</v>
      </c>
      <c r="E45" s="24" t="s">
        <v>870</v>
      </c>
      <c r="F45" s="24"/>
      <c r="G45" s="5"/>
      <c r="H45" s="5"/>
      <c r="I45" s="5"/>
      <c r="J45" s="5"/>
      <c r="K45" s="251" t="s">
        <v>1553</v>
      </c>
      <c r="L45" s="14"/>
      <c r="M45" s="5"/>
    </row>
    <row r="46" spans="1:25" s="87" customFormat="1" ht="18.75" x14ac:dyDescent="0.3">
      <c r="A46" s="64"/>
      <c r="B46" s="267" t="s">
        <v>1539</v>
      </c>
      <c r="C46" s="159"/>
      <c r="E46" s="308"/>
      <c r="F46" s="163"/>
      <c r="G46" s="161"/>
      <c r="H46" s="5"/>
      <c r="I46" s="5"/>
      <c r="J46" s="5"/>
      <c r="K46" s="5"/>
      <c r="L46" s="100"/>
      <c r="M46" s="101"/>
    </row>
    <row r="47" spans="1:25" s="87" customFormat="1" ht="18.75" x14ac:dyDescent="0.3">
      <c r="A47" s="5"/>
      <c r="B47" s="42" t="s">
        <v>1546</v>
      </c>
      <c r="C47" s="5"/>
      <c r="D47" s="5"/>
      <c r="E47" s="5"/>
      <c r="F47" s="5"/>
      <c r="G47" s="5"/>
      <c r="H47" s="5"/>
      <c r="I47" s="5"/>
      <c r="J47" s="5"/>
      <c r="K47" s="5"/>
      <c r="L47" s="99"/>
    </row>
    <row r="48" spans="1:25" s="87" customFormat="1" ht="33.75" customHeight="1" x14ac:dyDescent="0.3">
      <c r="A48" s="1255" t="s">
        <v>347</v>
      </c>
      <c r="B48" s="1255"/>
      <c r="C48" s="1255"/>
      <c r="D48" s="1255"/>
      <c r="E48" s="1255"/>
      <c r="F48" s="1255"/>
      <c r="G48" s="1255"/>
      <c r="H48" s="1255"/>
      <c r="I48" s="1255"/>
      <c r="J48" s="1255"/>
      <c r="K48" s="1255"/>
      <c r="N48" s="102"/>
      <c r="O48" s="97"/>
      <c r="P48" s="102"/>
      <c r="Q48" s="64"/>
    </row>
    <row r="49" spans="1:16" s="87" customFormat="1" ht="18.75" x14ac:dyDescent="0.3">
      <c r="A49" s="24" t="s">
        <v>298</v>
      </c>
      <c r="B49" s="24" t="s">
        <v>127</v>
      </c>
      <c r="C49" s="24" t="s">
        <v>239</v>
      </c>
      <c r="D49" s="24" t="s">
        <v>299</v>
      </c>
      <c r="E49" s="24" t="s">
        <v>870</v>
      </c>
      <c r="F49" s="24"/>
      <c r="G49" s="63" t="s">
        <v>236</v>
      </c>
      <c r="H49" s="5"/>
      <c r="I49" s="5"/>
      <c r="J49" s="5"/>
      <c r="K49" s="5"/>
      <c r="L49" s="102"/>
      <c r="M49" s="102"/>
      <c r="N49" s="90"/>
      <c r="O49" s="64"/>
      <c r="P49" s="101"/>
    </row>
    <row r="50" spans="1:16" s="87" customFormat="1" ht="18.75" x14ac:dyDescent="0.3">
      <c r="A50" s="42"/>
      <c r="B50" s="169" t="s">
        <v>557</v>
      </c>
      <c r="C50" s="159"/>
      <c r="E50" s="308"/>
      <c r="F50" s="163"/>
      <c r="G50" s="310"/>
      <c r="H50" s="5"/>
      <c r="I50" s="5"/>
      <c r="J50" s="5"/>
      <c r="K50" s="5"/>
      <c r="L50" s="90"/>
      <c r="M50" s="90"/>
      <c r="N50" s="90"/>
      <c r="O50" s="64"/>
      <c r="P50" s="101"/>
    </row>
    <row r="51" spans="1:16" s="87" customFormat="1" ht="18.75" x14ac:dyDescent="0.3">
      <c r="A51" s="5"/>
      <c r="B51" s="42" t="s">
        <v>1375</v>
      </c>
      <c r="C51" s="5"/>
      <c r="D51" s="5"/>
      <c r="E51" s="166"/>
      <c r="F51" s="166"/>
      <c r="G51" s="5"/>
      <c r="H51" s="5"/>
      <c r="I51" s="5"/>
      <c r="J51" s="5"/>
      <c r="K51" s="5"/>
      <c r="L51" s="90"/>
      <c r="M51" s="90"/>
      <c r="N51" s="90"/>
      <c r="O51" s="64"/>
      <c r="P51" s="101"/>
    </row>
    <row r="52" spans="1:16" s="87" customFormat="1" ht="18.75" x14ac:dyDescent="0.3">
      <c r="A52" s="1255" t="s">
        <v>1385</v>
      </c>
      <c r="B52" s="1255"/>
      <c r="C52" s="1255"/>
      <c r="D52" s="1255"/>
      <c r="E52" s="1255"/>
      <c r="F52" s="1255"/>
      <c r="G52" s="1255"/>
      <c r="H52" s="1255"/>
      <c r="I52" s="1255"/>
      <c r="J52" s="1255"/>
      <c r="K52" s="1255"/>
      <c r="L52" s="90"/>
      <c r="M52" s="90"/>
      <c r="N52" s="90"/>
      <c r="O52" s="64"/>
      <c r="P52" s="101"/>
    </row>
    <row r="53" spans="1:16" s="87" customFormat="1" ht="18.75" x14ac:dyDescent="0.3">
      <c r="A53" s="24" t="s">
        <v>298</v>
      </c>
      <c r="B53" s="24" t="s">
        <v>127</v>
      </c>
      <c r="C53" s="24" t="s">
        <v>239</v>
      </c>
      <c r="D53" s="24" t="s">
        <v>299</v>
      </c>
      <c r="E53" s="24" t="s">
        <v>870</v>
      </c>
      <c r="F53" s="24"/>
      <c r="G53" s="63" t="s">
        <v>236</v>
      </c>
      <c r="H53" s="5"/>
      <c r="I53" s="5"/>
      <c r="J53" s="5"/>
      <c r="K53" s="5"/>
      <c r="L53" s="90"/>
      <c r="M53" s="90"/>
      <c r="N53" s="103"/>
      <c r="O53" s="95"/>
    </row>
    <row r="54" spans="1:16" s="87" customFormat="1" ht="18.75" x14ac:dyDescent="0.3">
      <c r="A54" s="32"/>
      <c r="B54" s="910" t="s">
        <v>1558</v>
      </c>
      <c r="C54" s="159"/>
      <c r="E54" s="307"/>
      <c r="F54" s="62"/>
      <c r="G54" s="5"/>
      <c r="H54" s="5"/>
      <c r="I54" s="5"/>
      <c r="J54" s="5"/>
      <c r="K54" s="5"/>
      <c r="L54" s="103"/>
      <c r="M54" s="103"/>
    </row>
    <row r="55" spans="1:16" s="87" customFormat="1" ht="18.75" x14ac:dyDescent="0.3">
      <c r="A55" s="5"/>
      <c r="B55" s="42" t="s">
        <v>1546</v>
      </c>
      <c r="C55" s="158"/>
      <c r="D55" s="158"/>
      <c r="E55" s="158"/>
      <c r="F55" s="5"/>
      <c r="G55" s="5"/>
      <c r="H55" s="24"/>
      <c r="I55" s="5"/>
      <c r="J55" s="5"/>
      <c r="K55" s="5"/>
    </row>
    <row r="56" spans="1:16" s="87" customFormat="1" ht="18.75" x14ac:dyDescent="0.3">
      <c r="A56" s="1272" t="s">
        <v>1395</v>
      </c>
      <c r="B56" s="1272"/>
      <c r="C56" s="1272"/>
      <c r="D56" s="1272"/>
      <c r="E56" s="1272"/>
      <c r="F56" s="1272"/>
      <c r="G56" s="1272"/>
      <c r="H56" s="1272"/>
      <c r="I56" s="1272"/>
      <c r="J56" s="1272"/>
      <c r="K56" s="1272"/>
      <c r="L56" s="64"/>
    </row>
    <row r="57" spans="1:16" s="87" customFormat="1" ht="18.75" x14ac:dyDescent="0.3">
      <c r="A57" s="24" t="s">
        <v>298</v>
      </c>
      <c r="B57" s="24" t="s">
        <v>127</v>
      </c>
      <c r="C57" s="24" t="s">
        <v>239</v>
      </c>
      <c r="D57" s="24" t="s">
        <v>299</v>
      </c>
      <c r="E57" s="24" t="s">
        <v>870</v>
      </c>
      <c r="F57" s="24"/>
      <c r="G57" s="63" t="s">
        <v>236</v>
      </c>
      <c r="H57" s="5"/>
      <c r="I57" s="5"/>
      <c r="J57" s="5"/>
      <c r="K57" s="5"/>
      <c r="L57" s="100"/>
    </row>
    <row r="58" spans="1:16" s="87" customFormat="1" ht="18.75" x14ac:dyDescent="0.3">
      <c r="A58" s="62" t="s">
        <v>507</v>
      </c>
      <c r="B58" s="915" t="s">
        <v>1369</v>
      </c>
      <c r="C58" s="616">
        <f>AVERAGE(140,600)</f>
        <v>370</v>
      </c>
      <c r="D58" s="618">
        <f>C58</f>
        <v>370</v>
      </c>
      <c r="E58" s="590">
        <f>C59</f>
        <v>3</v>
      </c>
      <c r="G58" s="461" t="s">
        <v>571</v>
      </c>
      <c r="H58" s="5"/>
      <c r="I58" s="5"/>
      <c r="J58" s="5"/>
      <c r="K58" s="5"/>
      <c r="L58" s="100"/>
      <c r="M58" s="101"/>
    </row>
    <row r="59" spans="1:16" s="87" customFormat="1" ht="18.75" x14ac:dyDescent="0.3">
      <c r="A59" s="5" t="s">
        <v>1430</v>
      </c>
      <c r="B59" s="916" t="s">
        <v>477</v>
      </c>
      <c r="C59" s="612">
        <f>AVERAGE(2,4)</f>
        <v>3</v>
      </c>
      <c r="D59" s="233"/>
      <c r="E59" s="166"/>
      <c r="G59" s="462" t="s">
        <v>570</v>
      </c>
      <c r="H59" s="5"/>
      <c r="I59" s="5"/>
      <c r="J59" s="5"/>
      <c r="K59" s="5"/>
      <c r="M59" s="64"/>
    </row>
    <row r="60" spans="1:16" s="87" customFormat="1" ht="18.75" x14ac:dyDescent="0.3">
      <c r="A60" s="5"/>
      <c r="B60" s="5"/>
      <c r="C60" s="194"/>
      <c r="D60" s="168"/>
      <c r="E60" s="194"/>
      <c r="F60" s="194"/>
      <c r="G60" s="264"/>
      <c r="H60" s="5"/>
      <c r="I60" s="5"/>
      <c r="J60" s="5"/>
      <c r="K60" s="5"/>
    </row>
    <row r="61" spans="1:16" s="87" customFormat="1" ht="18.75" x14ac:dyDescent="0.3">
      <c r="A61" s="5"/>
      <c r="B61" s="264"/>
      <c r="C61" s="159"/>
      <c r="D61" s="158"/>
      <c r="E61" s="159"/>
      <c r="F61" s="42"/>
      <c r="G61" s="5"/>
      <c r="H61" s="5"/>
      <c r="I61" s="5"/>
      <c r="J61" s="5"/>
      <c r="K61" s="5"/>
      <c r="L61" s="64"/>
    </row>
    <row r="62" spans="1:16" s="87" customFormat="1" ht="18.75" x14ac:dyDescent="0.3">
      <c r="A62" s="1272" t="s">
        <v>1396</v>
      </c>
      <c r="B62" s="1272"/>
      <c r="C62" s="1272"/>
      <c r="D62" s="1272"/>
      <c r="E62" s="1272"/>
      <c r="F62" s="1272"/>
      <c r="G62" s="1272"/>
      <c r="H62" s="1272"/>
      <c r="I62" s="1272"/>
      <c r="J62" s="1272"/>
      <c r="K62" s="1272"/>
      <c r="L62" s="104"/>
    </row>
    <row r="63" spans="1:16" s="87" customFormat="1" ht="18.75" x14ac:dyDescent="0.3">
      <c r="A63" s="232" t="s">
        <v>298</v>
      </c>
      <c r="B63" s="24" t="s">
        <v>127</v>
      </c>
      <c r="C63" s="24" t="s">
        <v>239</v>
      </c>
      <c r="D63" s="24" t="s">
        <v>299</v>
      </c>
      <c r="E63" s="24" t="s">
        <v>887</v>
      </c>
      <c r="G63" s="63" t="s">
        <v>236</v>
      </c>
      <c r="H63" s="233"/>
      <c r="I63" s="233"/>
      <c r="J63" s="233"/>
      <c r="K63" s="231"/>
      <c r="L63" s="100"/>
    </row>
    <row r="64" spans="1:16" s="87" customFormat="1" ht="18.75" x14ac:dyDescent="0.3">
      <c r="A64" s="5" t="s">
        <v>164</v>
      </c>
      <c r="B64" s="312"/>
      <c r="E64" s="650">
        <v>100</v>
      </c>
      <c r="F64" s="20"/>
      <c r="G64" s="442" t="s">
        <v>558</v>
      </c>
      <c r="H64" s="233"/>
      <c r="I64" s="233"/>
      <c r="J64" s="233"/>
      <c r="K64" s="231"/>
      <c r="M64" s="64"/>
    </row>
    <row r="65" spans="1:25" s="87" customFormat="1" ht="18.75" x14ac:dyDescent="0.3">
      <c r="A65" s="5"/>
      <c r="B65" s="264"/>
      <c r="C65" s="159"/>
      <c r="D65" s="159"/>
      <c r="E65" s="158"/>
      <c r="F65" s="5"/>
      <c r="G65" s="193"/>
      <c r="H65" s="233"/>
      <c r="I65" s="233"/>
      <c r="J65" s="233"/>
      <c r="K65" s="231"/>
      <c r="M65" s="101"/>
    </row>
    <row r="66" spans="1:25" s="87" customFormat="1" ht="18.75" x14ac:dyDescent="0.3">
      <c r="A66" s="1272" t="s">
        <v>1397</v>
      </c>
      <c r="B66" s="1272"/>
      <c r="C66" s="1272"/>
      <c r="D66" s="1272"/>
      <c r="E66" s="1272"/>
      <c r="F66" s="1272"/>
      <c r="G66" s="1272"/>
      <c r="H66" s="1272"/>
      <c r="I66" s="1272"/>
      <c r="J66" s="1272"/>
      <c r="K66" s="1272"/>
    </row>
    <row r="67" spans="1:25" s="87" customFormat="1" ht="18.75" x14ac:dyDescent="0.3">
      <c r="A67" s="24" t="s">
        <v>298</v>
      </c>
      <c r="B67" s="24" t="s">
        <v>127</v>
      </c>
      <c r="C67" s="24" t="s">
        <v>239</v>
      </c>
      <c r="D67" s="24" t="s">
        <v>299</v>
      </c>
      <c r="E67" s="24" t="s">
        <v>887</v>
      </c>
      <c r="F67" s="24"/>
      <c r="G67" s="63" t="s">
        <v>236</v>
      </c>
      <c r="H67" s="5"/>
      <c r="I67" s="5"/>
      <c r="J67" s="5"/>
      <c r="K67" s="5"/>
    </row>
    <row r="68" spans="1:25" s="87" customFormat="1" ht="19.5" customHeight="1" x14ac:dyDescent="0.3">
      <c r="A68" s="62"/>
      <c r="B68" s="159" t="s">
        <v>478</v>
      </c>
      <c r="E68" s="616">
        <f>AVERAGE(50,150)</f>
        <v>100</v>
      </c>
      <c r="G68" s="30" t="s">
        <v>479</v>
      </c>
      <c r="H68" s="5"/>
      <c r="I68" s="5"/>
      <c r="J68" s="5"/>
      <c r="K68" s="5"/>
      <c r="L68" s="64"/>
    </row>
    <row r="69" spans="1:25" s="87" customFormat="1" ht="18.75" x14ac:dyDescent="0.3">
      <c r="A69" s="62"/>
      <c r="B69" s="42"/>
      <c r="C69" s="42"/>
      <c r="D69" s="42"/>
      <c r="E69" s="5"/>
      <c r="F69" s="5"/>
      <c r="G69" s="169"/>
      <c r="H69" s="5"/>
      <c r="I69" s="5"/>
      <c r="J69" s="5"/>
      <c r="K69" s="5"/>
      <c r="L69" s="114"/>
    </row>
    <row r="70" spans="1:25" s="87" customFormat="1" ht="18.75" x14ac:dyDescent="0.3">
      <c r="A70" s="1272" t="s">
        <v>1389</v>
      </c>
      <c r="B70" s="1272"/>
      <c r="C70" s="1272"/>
      <c r="D70" s="1272"/>
      <c r="E70" s="1272"/>
      <c r="F70" s="1272"/>
      <c r="G70" s="1272"/>
      <c r="H70" s="1272"/>
      <c r="I70" s="1272"/>
      <c r="J70" s="1272"/>
      <c r="K70" s="1272"/>
      <c r="L70" s="115"/>
    </row>
    <row r="71" spans="1:25" s="87" customFormat="1" ht="18.75" x14ac:dyDescent="0.3">
      <c r="A71" s="24" t="s">
        <v>298</v>
      </c>
      <c r="B71" s="24" t="s">
        <v>127</v>
      </c>
      <c r="C71" s="24" t="s">
        <v>239</v>
      </c>
      <c r="D71" s="24" t="s">
        <v>299</v>
      </c>
      <c r="E71" s="24" t="s">
        <v>870</v>
      </c>
      <c r="F71" s="24"/>
      <c r="G71" s="63" t="s">
        <v>236</v>
      </c>
      <c r="H71" s="5"/>
      <c r="I71" s="5"/>
      <c r="J71" s="5"/>
      <c r="K71" s="5"/>
      <c r="L71" s="114"/>
      <c r="U71" s="5"/>
      <c r="V71" s="5"/>
      <c r="W71" s="5"/>
      <c r="X71" s="5"/>
      <c r="Y71" s="5"/>
    </row>
    <row r="72" spans="1:25" ht="18.75" x14ac:dyDescent="0.3">
      <c r="A72" s="62"/>
      <c r="B72" s="161" t="s">
        <v>1559</v>
      </c>
      <c r="D72" s="169"/>
      <c r="E72" s="167"/>
      <c r="F72" s="20"/>
      <c r="G72" s="169"/>
      <c r="L72" s="115"/>
      <c r="M72" s="95"/>
    </row>
    <row r="73" spans="1:25" x14ac:dyDescent="0.25">
      <c r="B73" s="42" t="s">
        <v>1549</v>
      </c>
    </row>
    <row r="74" spans="1:25" ht="17.25" x14ac:dyDescent="0.25">
      <c r="A74" s="1272" t="s">
        <v>1398</v>
      </c>
      <c r="B74" s="1272"/>
      <c r="C74" s="1272"/>
      <c r="D74" s="1272"/>
      <c r="E74" s="1272"/>
      <c r="F74" s="1272"/>
      <c r="G74" s="1272"/>
      <c r="H74" s="1272"/>
      <c r="I74" s="1272"/>
      <c r="J74" s="1272"/>
      <c r="K74" s="1272"/>
    </row>
    <row r="75" spans="1:25" x14ac:dyDescent="0.25">
      <c r="A75" s="24" t="s">
        <v>298</v>
      </c>
      <c r="B75" s="24" t="s">
        <v>127</v>
      </c>
      <c r="C75" s="24" t="s">
        <v>239</v>
      </c>
      <c r="D75" s="24" t="s">
        <v>299</v>
      </c>
      <c r="E75" s="24" t="s">
        <v>870</v>
      </c>
      <c r="F75" s="24"/>
      <c r="G75" s="63" t="s">
        <v>236</v>
      </c>
    </row>
    <row r="76" spans="1:25" x14ac:dyDescent="0.25">
      <c r="A76" s="1074" t="s">
        <v>1557</v>
      </c>
      <c r="C76" s="42"/>
      <c r="D76" s="493">
        <v>40</v>
      </c>
      <c r="E76" s="158">
        <v>1.5</v>
      </c>
      <c r="G76" s="404" t="s">
        <v>161</v>
      </c>
    </row>
    <row r="77" spans="1:25" ht="18.75" x14ac:dyDescent="0.3">
      <c r="A77" s="5" t="s">
        <v>1556</v>
      </c>
      <c r="B77" s="87"/>
      <c r="C77" s="42"/>
      <c r="D77" s="42"/>
      <c r="E77" s="42"/>
      <c r="F77" s="42"/>
    </row>
    <row r="78" spans="1:25" x14ac:dyDescent="0.25">
      <c r="A78" s="5" t="s">
        <v>160</v>
      </c>
    </row>
    <row r="79" spans="1:25" ht="18.75" x14ac:dyDescent="0.3">
      <c r="A79" s="5" t="s">
        <v>1555</v>
      </c>
      <c r="B79" s="105"/>
    </row>
    <row r="80" spans="1:25" x14ac:dyDescent="0.25">
      <c r="A80" s="5" t="s">
        <v>1370</v>
      </c>
    </row>
    <row r="81" spans="1:11" ht="18.75" x14ac:dyDescent="0.3">
      <c r="A81" s="5" t="s">
        <v>476</v>
      </c>
      <c r="B81" s="87"/>
    </row>
    <row r="83" spans="1:11" ht="17.25" x14ac:dyDescent="0.25">
      <c r="A83" s="1272" t="s">
        <v>1388</v>
      </c>
      <c r="B83" s="1272"/>
      <c r="C83" s="1272"/>
      <c r="D83" s="1272"/>
      <c r="E83" s="1272"/>
      <c r="F83" s="1272"/>
      <c r="G83" s="1272"/>
      <c r="H83" s="1272"/>
      <c r="I83" s="1272"/>
      <c r="J83" s="1272"/>
      <c r="K83" s="1272"/>
    </row>
    <row r="84" spans="1:11" x14ac:dyDescent="0.25">
      <c r="A84" s="24" t="s">
        <v>298</v>
      </c>
      <c r="B84" s="24" t="s">
        <v>127</v>
      </c>
      <c r="C84" s="24" t="s">
        <v>239</v>
      </c>
      <c r="D84" s="24" t="s">
        <v>299</v>
      </c>
      <c r="E84" s="24" t="s">
        <v>300</v>
      </c>
      <c r="G84" s="63" t="s">
        <v>236</v>
      </c>
    </row>
    <row r="85" spans="1:11" x14ac:dyDescent="0.25">
      <c r="B85" s="30" t="s">
        <v>480</v>
      </c>
    </row>
    <row r="86" spans="1:11" x14ac:dyDescent="0.25">
      <c r="B86" s="42" t="s">
        <v>1549</v>
      </c>
    </row>
  </sheetData>
  <mergeCells count="23">
    <mergeCell ref="D1:F1"/>
    <mergeCell ref="A44:K44"/>
    <mergeCell ref="A48:K48"/>
    <mergeCell ref="A1:C1"/>
    <mergeCell ref="K1:K3"/>
    <mergeCell ref="A52:K52"/>
    <mergeCell ref="C4:F4"/>
    <mergeCell ref="A39:B41"/>
    <mergeCell ref="A38:B38"/>
    <mergeCell ref="E8:I8"/>
    <mergeCell ref="C30:G30"/>
    <mergeCell ref="C31:F31"/>
    <mergeCell ref="C32:F32"/>
    <mergeCell ref="A37:D37"/>
    <mergeCell ref="C34:C35"/>
    <mergeCell ref="K8:M9"/>
    <mergeCell ref="C15:N15"/>
    <mergeCell ref="A83:K83"/>
    <mergeCell ref="A66:K66"/>
    <mergeCell ref="A70:K70"/>
    <mergeCell ref="A74:K74"/>
    <mergeCell ref="A56:K56"/>
    <mergeCell ref="A62:K62"/>
  </mergeCells>
  <conditionalFormatting sqref="C46">
    <cfRule type="expression" dxfId="3" priority="1">
      <formula>_xlfn.ISFORMULA(U41:XFD184)</formula>
    </cfRule>
  </conditionalFormatting>
  <hyperlinks>
    <hyperlink ref="A42" r:id="rId1" xr:uid="{5A0B4B48-DB93-4C22-A641-0127283A67A5}"/>
    <hyperlink ref="B50" location="'14 Space Heating Detailed Costs'!B40" display="Detailed 240V Costs Found Here" xr:uid="{EEB31A7A-AFB2-4917-8923-F77AB225A575}"/>
    <hyperlink ref="G76" r:id="rId2" xr:uid="{60477528-5621-44A7-BFBB-E551FD69EDB2}"/>
    <hyperlink ref="B9" location="'25 Markup Notes'!B13" display="See Markup Notes worksheet for details and sources" xr:uid="{E6D227CB-C12E-4C25-931A-0FB5B6796BE7}"/>
    <hyperlink ref="B54" location="'14 Space Heating Detailed Costs'!B98" display="Detailed Fuel Lines Found Here" xr:uid="{1846B7E5-BCCB-4401-9C7C-3EB43CCC1FF2}"/>
    <hyperlink ref="B72" location="'16 Water Heating Costs'!A84" display="Detailed Capping Gas Costs Can be Found Here" xr:uid="{EE033B11-A62C-444D-B333-43653451C6A2}"/>
    <hyperlink ref="B85" location="'16 Water Heating Costs'!A74" display="Detailed Capping Costs Can be Found Here" xr:uid="{03C1520B-67A0-4DAC-A8C5-DFFE8C06D70D}"/>
    <hyperlink ref="L7" r:id="rId3" xr:uid="{65E21CD7-4DDE-4A12-BC85-086D1E9F6448}"/>
    <hyperlink ref="G68" r:id="rId4" location=":~:text" xr:uid="{E6E59ABB-A172-46A0-A705-6630D517AF20}"/>
    <hyperlink ref="G64" r:id="rId5" xr:uid="{54084A0C-FE28-4808-87E1-DD1C3C78F36B}"/>
    <hyperlink ref="G59" r:id="rId6" location=":~:text " xr:uid="{54666E13-246B-4088-AC50-5A08D39A95EC}"/>
    <hyperlink ref="G58" r:id="rId7" xr:uid="{8ED9CD54-C4D3-4CD5-99E6-89968E3E6F9B}"/>
    <hyperlink ref="N8" r:id="rId8" xr:uid="{B16AAB03-4A9D-497A-A579-0F725A2CAE02}"/>
    <hyperlink ref="B46" location="'14 Space Heating Detailed Costs'!B98" display="Detail Fuel Lines Found Here" xr:uid="{F56BD22B-718B-48B8-84E5-42C4C3CC4CCA}"/>
  </hyperlinks>
  <pageMargins left="0.7" right="0.7" top="0.75" bottom="0.75" header="0.3" footer="0.3"/>
  <pageSetup orientation="portrait" r:id="rId9"/>
  <ignoredErrors>
    <ignoredError sqref="C40" formula="1"/>
  </ignoredErrors>
  <drawing r:id="rId1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C7057-45C2-402F-9441-63404A075AB7}">
  <sheetPr codeName="Sheet3">
    <tabColor theme="9" tint="0.79998168889431442"/>
  </sheetPr>
  <dimension ref="A1:AR98"/>
  <sheetViews>
    <sheetView zoomScale="85" zoomScaleNormal="85" workbookViewId="0">
      <selection sqref="A1:B3"/>
    </sheetView>
  </sheetViews>
  <sheetFormatPr defaultColWidth="8.85546875" defaultRowHeight="18.75" x14ac:dyDescent="0.3"/>
  <cols>
    <col min="1" max="1" width="21.7109375" style="87" customWidth="1"/>
    <col min="2" max="2" width="24.85546875" style="87" customWidth="1"/>
    <col min="3" max="3" width="18.85546875" style="87" customWidth="1"/>
    <col min="4" max="4" width="20.7109375" style="87" customWidth="1"/>
    <col min="5" max="5" width="20.28515625" style="87" customWidth="1"/>
    <col min="6" max="6" width="15.42578125" style="108" customWidth="1"/>
    <col min="7" max="7" width="23.7109375" style="87" customWidth="1"/>
    <col min="8" max="8" width="31.85546875" style="87" customWidth="1"/>
    <col min="9" max="9" width="17.85546875" style="87" customWidth="1"/>
    <col min="10" max="10" width="18.140625" style="87" customWidth="1"/>
    <col min="11" max="11" width="18.7109375" style="87" customWidth="1"/>
    <col min="12" max="12" width="23.85546875" style="87" customWidth="1"/>
    <col min="13" max="13" width="15.28515625" style="87" customWidth="1"/>
    <col min="14" max="14" width="17.7109375" style="87" customWidth="1"/>
    <col min="15" max="15" width="17.140625" style="87" customWidth="1"/>
    <col min="16" max="16" width="15.85546875" style="87" customWidth="1"/>
    <col min="17" max="17" width="11.7109375" style="87" customWidth="1"/>
    <col min="18" max="18" width="16.28515625" style="87" customWidth="1"/>
    <col min="19" max="19" width="21.7109375" style="87" customWidth="1"/>
    <col min="20" max="20" width="13" style="87" customWidth="1"/>
    <col min="21" max="21" width="17.28515625" style="87" customWidth="1"/>
    <col min="22" max="22" width="17.42578125" style="87" customWidth="1"/>
    <col min="23" max="23" width="12.140625" style="87" customWidth="1"/>
    <col min="24" max="24" width="16.7109375" style="87" customWidth="1"/>
    <col min="25" max="26" width="15.5703125" style="87" customWidth="1"/>
    <col min="27" max="27" width="17.5703125" style="87" customWidth="1"/>
    <col min="28" max="28" width="23.85546875" style="87" customWidth="1"/>
    <col min="29" max="29" width="12.140625" style="87" customWidth="1"/>
    <col min="30" max="30" width="19.28515625" style="87" customWidth="1"/>
    <col min="31" max="31" width="12.28515625" style="87" customWidth="1"/>
    <col min="32" max="32" width="8.85546875" style="87"/>
    <col min="33" max="33" width="16.85546875" style="87" customWidth="1"/>
    <col min="34" max="35" width="15.85546875" style="87" customWidth="1"/>
    <col min="36" max="38" width="15" style="87" customWidth="1"/>
    <col min="39" max="39" width="18.28515625" style="87" bestFit="1" customWidth="1"/>
    <col min="40" max="40" width="16.28515625" style="87" customWidth="1"/>
    <col min="41" max="41" width="8.85546875" style="87"/>
    <col min="42" max="42" width="12.140625" style="87" customWidth="1"/>
    <col min="43" max="43" width="8.85546875" style="87"/>
    <col min="44" max="44" width="14" style="87" customWidth="1"/>
    <col min="45" max="16384" width="8.85546875" style="87"/>
  </cols>
  <sheetData>
    <row r="1" spans="1:22" ht="18.75" customHeight="1" x14ac:dyDescent="0.3">
      <c r="A1" s="1203" t="s">
        <v>503</v>
      </c>
      <c r="B1" s="1203"/>
      <c r="C1" s="194" t="s">
        <v>1461</v>
      </c>
      <c r="F1" s="87"/>
      <c r="U1" s="1172" t="s">
        <v>516</v>
      </c>
      <c r="V1" s="57"/>
    </row>
    <row r="2" spans="1:22" ht="18.75" customHeight="1" x14ac:dyDescent="0.3">
      <c r="A2" s="1203"/>
      <c r="B2" s="1203"/>
      <c r="C2" s="108"/>
      <c r="F2" s="87"/>
      <c r="U2" s="1173"/>
      <c r="V2" s="57"/>
    </row>
    <row r="3" spans="1:22" ht="30.75" customHeight="1" x14ac:dyDescent="0.3">
      <c r="A3" s="1203"/>
      <c r="B3" s="1203"/>
      <c r="C3" s="108"/>
      <c r="F3" s="87"/>
      <c r="U3" s="1174"/>
      <c r="V3" s="57"/>
    </row>
    <row r="4" spans="1:22" ht="25.5" customHeight="1" x14ac:dyDescent="0.3">
      <c r="A4" s="359"/>
      <c r="B4" s="359"/>
      <c r="C4" s="108"/>
      <c r="F4" s="87"/>
    </row>
    <row r="5" spans="1:22" x14ac:dyDescent="0.3">
      <c r="A5" s="1098" t="s">
        <v>1469</v>
      </c>
      <c r="B5" s="1098"/>
      <c r="C5" s="1098"/>
      <c r="D5" s="1098"/>
      <c r="F5" s="87"/>
    </row>
    <row r="6" spans="1:22" ht="19.5" thickBot="1" x14ac:dyDescent="0.35">
      <c r="A6" s="1327"/>
      <c r="B6" s="1327"/>
      <c r="C6" s="1327"/>
      <c r="D6" s="1327"/>
      <c r="F6" s="87"/>
      <c r="H6" s="5" t="s">
        <v>1470</v>
      </c>
    </row>
    <row r="7" spans="1:22" ht="85.5" customHeight="1" thickBot="1" x14ac:dyDescent="0.35">
      <c r="A7" s="1312" t="s">
        <v>1121</v>
      </c>
      <c r="B7" s="1313"/>
      <c r="C7" s="1313"/>
      <c r="D7" s="1314"/>
      <c r="E7" s="1325" t="s">
        <v>1462</v>
      </c>
      <c r="F7" s="1201"/>
      <c r="G7" s="1326"/>
      <c r="H7" s="1312" t="s">
        <v>560</v>
      </c>
      <c r="I7" s="1313"/>
      <c r="J7" s="1313"/>
      <c r="K7" s="1313"/>
      <c r="L7" s="1314"/>
      <c r="N7" s="5"/>
      <c r="Q7" s="30" t="s">
        <v>334</v>
      </c>
      <c r="S7" s="1328" t="s">
        <v>1154</v>
      </c>
      <c r="T7" s="1329"/>
      <c r="U7" s="1329"/>
      <c r="V7" s="1330"/>
    </row>
    <row r="8" spans="1:22" ht="75" x14ac:dyDescent="0.3">
      <c r="A8" s="198" t="s">
        <v>524</v>
      </c>
      <c r="B8" s="199" t="s">
        <v>1466</v>
      </c>
      <c r="C8" s="199" t="s">
        <v>1467</v>
      </c>
      <c r="D8" s="460" t="s">
        <v>1468</v>
      </c>
      <c r="E8" s="1325"/>
      <c r="F8" s="1201"/>
      <c r="G8" s="1326"/>
      <c r="H8" s="198" t="s">
        <v>524</v>
      </c>
      <c r="I8" s="210" t="s">
        <v>1466</v>
      </c>
      <c r="J8" s="210" t="s">
        <v>1467</v>
      </c>
      <c r="K8" s="210" t="s">
        <v>1468</v>
      </c>
      <c r="L8" s="445" t="s">
        <v>1438</v>
      </c>
      <c r="N8" s="1322" t="s">
        <v>332</v>
      </c>
      <c r="O8" s="1323"/>
      <c r="P8" s="1323"/>
      <c r="Q8" s="1324"/>
      <c r="S8" s="198" t="s">
        <v>1464</v>
      </c>
      <c r="T8" s="210" t="s">
        <v>1151</v>
      </c>
      <c r="U8" s="210" t="s">
        <v>1152</v>
      </c>
      <c r="V8" s="335" t="s">
        <v>1153</v>
      </c>
    </row>
    <row r="9" spans="1:22" x14ac:dyDescent="0.3">
      <c r="A9" s="834" t="s">
        <v>32</v>
      </c>
      <c r="B9" s="820" cm="1">
        <f t="array" ref="B9">SUMPRODUCT(($D$28:$D$78=A9) * $E$28:$E$78, $I$28:$I$78) / SUMIF($D$28:$D$78, A9, $I$28:$I$78)</f>
        <v>37.781203438395416</v>
      </c>
      <c r="C9" s="820" cm="1">
        <f t="array" ref="C9">SUMPRODUCT(($D$28:$D$78=A9) * $K$28:$K$78, $O$28:$O$78) / SUMIF($D$28:$D$78, A9, $O$28:$O$78)</f>
        <v>35.62487088882849</v>
      </c>
      <c r="D9" s="1057" cm="1">
        <f t="array" ref="D9">SUMPRODUCT(($D$28:$D$78=A9) * $Q$28:$Q$78, $U$28:$U$78) / SUMIF($D$28:$D$78, A9, $U$28:$U$78)</f>
        <v>32.706569579288029</v>
      </c>
      <c r="E9" s="1325"/>
      <c r="F9" s="1201"/>
      <c r="G9" s="1326"/>
      <c r="H9" s="834" t="s">
        <v>32</v>
      </c>
      <c r="I9" s="820">
        <f t="shared" ref="I9:I17" si="0">B9/(1+$I$19)</f>
        <v>36.929342056786254</v>
      </c>
      <c r="J9" s="820">
        <f t="shared" ref="J9:J17" si="1">C9/(1+$J$19)</f>
        <v>34.349919875060891</v>
      </c>
      <c r="K9" s="820">
        <f t="shared" ref="K9:K17" si="2">D9/(1+$K$19)</f>
        <v>31.571919304223471</v>
      </c>
      <c r="L9" s="821">
        <f t="shared" ref="L9:L17" si="3">IFERROR(INDEX($G$89:$G$97,MATCH(H9,$D$89:$D$97,0)),"")</f>
        <v>0.307</v>
      </c>
      <c r="N9" s="448" t="s">
        <v>326</v>
      </c>
      <c r="O9" s="446">
        <v>2022</v>
      </c>
      <c r="P9" s="446">
        <v>2023</v>
      </c>
      <c r="Q9" s="447" t="s">
        <v>327</v>
      </c>
      <c r="S9" s="170" t="s">
        <v>32</v>
      </c>
      <c r="T9" s="444">
        <f t="shared" ref="T9:T17" si="4">K9/$K$18</f>
        <v>1.1410380001171463</v>
      </c>
      <c r="U9" s="726">
        <f t="shared" ref="U9:U17" si="5">J9/$J$18</f>
        <v>1.0927958195057021</v>
      </c>
      <c r="V9" s="727">
        <f t="shared" ref="V9:V17" si="6">I9/$I$18</f>
        <v>1.1583579770418406</v>
      </c>
    </row>
    <row r="10" spans="1:22" x14ac:dyDescent="0.3">
      <c r="A10" s="834" t="s">
        <v>60</v>
      </c>
      <c r="B10" s="820" cm="1">
        <f t="array" ref="B10">SUMPRODUCT(($D$28:$D$78=A10) * $E$28:$E$78, $I$28:$I$78) / SUMIF($D$28:$D$78, A10, $I$28:$I$78)</f>
        <v>39.966756415649982</v>
      </c>
      <c r="C10" s="820" cm="1">
        <f t="array" ref="C10">SUMPRODUCT(($D$28:$D$78=A10) * $K$28:$K$78, $O$28:$O$78) / SUMIF($D$28:$D$78, A10, $O$28:$O$78)</f>
        <v>38.337978625148445</v>
      </c>
      <c r="D10" s="1057" cm="1">
        <f t="array" ref="D10">SUMPRODUCT(($D$28:$D$78=A10) * $Q$28:$Q$78, $U$28:$U$78) / SUMIF($D$28:$D$78, A10, $U$28:$U$78)</f>
        <v>31.202928516525748</v>
      </c>
      <c r="E10" s="1325"/>
      <c r="F10" s="1201"/>
      <c r="G10" s="1326"/>
      <c r="H10" s="834" t="s">
        <v>60</v>
      </c>
      <c r="I10" s="820">
        <f t="shared" si="0"/>
        <v>39.065616874285539</v>
      </c>
      <c r="J10" s="820">
        <f t="shared" si="1"/>
        <v>36.965930292216477</v>
      </c>
      <c r="K10" s="820">
        <f t="shared" si="2"/>
        <v>30.120442279677601</v>
      </c>
      <c r="L10" s="821">
        <f t="shared" si="3"/>
        <v>0.31</v>
      </c>
      <c r="N10" s="170" t="s">
        <v>559</v>
      </c>
      <c r="O10" s="901">
        <v>31.34</v>
      </c>
      <c r="P10" s="901">
        <v>32.08</v>
      </c>
      <c r="Q10" s="299">
        <f>1-O10/P10</f>
        <v>2.3067331670822866E-2</v>
      </c>
      <c r="S10" s="170" t="s">
        <v>60</v>
      </c>
      <c r="T10" s="444">
        <f t="shared" si="4"/>
        <v>1.088580294732024</v>
      </c>
      <c r="U10" s="726">
        <f t="shared" si="5"/>
        <v>1.176020620554701</v>
      </c>
      <c r="V10" s="727">
        <f t="shared" si="6"/>
        <v>1.2253662376330732</v>
      </c>
    </row>
    <row r="11" spans="1:22" x14ac:dyDescent="0.3">
      <c r="A11" s="834" t="s">
        <v>41</v>
      </c>
      <c r="B11" s="820" cm="1">
        <f t="array" ref="B11">SUMPRODUCT(($D$28:$D$78=A11) * $E$28:$E$78, $I$28:$I$78) / SUMIF($D$28:$D$78, A11, $I$28:$I$78)</f>
        <v>36.18573412698413</v>
      </c>
      <c r="C11" s="820" cm="1">
        <f t="array" ref="C11">SUMPRODUCT(($D$28:$D$78=A11) * $K$28:$K$78, $O$28:$O$78) / SUMIF($D$28:$D$78, A11, $O$28:$O$78)</f>
        <v>34.42528311529027</v>
      </c>
      <c r="D11" s="1057" cm="1">
        <f t="array" ref="D11">SUMPRODUCT(($D$28:$D$78=A11) * $Q$28:$Q$78, $U$28:$U$78) / SUMIF($D$28:$D$78, A11, $U$28:$U$78)</f>
        <v>29.32197806580259</v>
      </c>
      <c r="F11" s="87"/>
      <c r="H11" s="834" t="s">
        <v>41</v>
      </c>
      <c r="I11" s="820">
        <f t="shared" si="0"/>
        <v>35.369846154590213</v>
      </c>
      <c r="J11" s="820">
        <f t="shared" si="1"/>
        <v>33.193263222669707</v>
      </c>
      <c r="K11" s="820">
        <f t="shared" si="2"/>
        <v>28.304745414816512</v>
      </c>
      <c r="L11" s="821">
        <f t="shared" si="3"/>
        <v>0.309</v>
      </c>
      <c r="N11" s="170" t="s">
        <v>328</v>
      </c>
      <c r="O11" s="901">
        <v>31.39</v>
      </c>
      <c r="P11" s="901">
        <v>32.6</v>
      </c>
      <c r="Q11" s="299">
        <f>1-O11/P11</f>
        <v>3.7116564417177922E-2</v>
      </c>
      <c r="S11" s="170" t="s">
        <v>41</v>
      </c>
      <c r="T11" s="444">
        <f t="shared" si="4"/>
        <v>1.0229593516548345</v>
      </c>
      <c r="U11" s="726">
        <f t="shared" si="5"/>
        <v>1.0559983667333526</v>
      </c>
      <c r="V11" s="727">
        <f t="shared" si="6"/>
        <v>1.109441467354366</v>
      </c>
    </row>
    <row r="12" spans="1:22" ht="19.5" thickBot="1" x14ac:dyDescent="0.35">
      <c r="A12" s="834" t="s">
        <v>44</v>
      </c>
      <c r="B12" s="820" cm="1">
        <f t="array" ref="B12">SUMPRODUCT(($D$28:$D$78=A12) * $E$28:$E$78, $I$28:$I$78) / SUMIF($D$28:$D$78, A12, $I$28:$I$78)</f>
        <v>33.325934128336172</v>
      </c>
      <c r="C12" s="820" cm="1">
        <f t="array" ref="C12">SUMPRODUCT(($D$28:$D$78=A12) * $K$28:$K$78, $O$28:$O$78) / SUMIF($D$28:$D$78, A12, $O$28:$O$78)</f>
        <v>32.593423257715102</v>
      </c>
      <c r="D12" s="1057" cm="1">
        <f t="array" ref="D12">SUMPRODUCT(($D$28:$D$78=A12) * $Q$28:$Q$78, $U$28:$U$78) / SUMIF($D$28:$D$78, A12, $U$28:$U$78)</f>
        <v>29.36527767283718</v>
      </c>
      <c r="F12" s="87"/>
      <c r="H12" s="834" t="s">
        <v>44</v>
      </c>
      <c r="I12" s="820">
        <f t="shared" si="0"/>
        <v>32.574526716545535</v>
      </c>
      <c r="J12" s="820">
        <f t="shared" si="1"/>
        <v>31.426962383954812</v>
      </c>
      <c r="K12" s="820">
        <f t="shared" si="2"/>
        <v>28.346542879875837</v>
      </c>
      <c r="L12" s="821">
        <f t="shared" si="3"/>
        <v>0.312</v>
      </c>
      <c r="N12" s="171" t="s">
        <v>143</v>
      </c>
      <c r="O12" s="902">
        <v>27.63</v>
      </c>
      <c r="P12" s="902">
        <v>28.66</v>
      </c>
      <c r="Q12" s="443">
        <f>1-O12/P12</f>
        <v>3.5938590369853474E-2</v>
      </c>
      <c r="S12" s="170" t="s">
        <v>44</v>
      </c>
      <c r="T12" s="444">
        <f t="shared" si="4"/>
        <v>1.0244699502181243</v>
      </c>
      <c r="U12" s="726">
        <f t="shared" si="5"/>
        <v>0.99980591622523818</v>
      </c>
      <c r="V12" s="727">
        <f t="shared" si="6"/>
        <v>1.0217610379424331</v>
      </c>
    </row>
    <row r="13" spans="1:22" x14ac:dyDescent="0.3">
      <c r="A13" s="834" t="s">
        <v>34</v>
      </c>
      <c r="B13" s="820" cm="1">
        <f t="array" ref="B13">SUMPRODUCT(($D$28:$D$78=A13) * $E$28:$E$78, $I$28:$I$78) / SUMIF($D$28:$D$78, A13, $I$28:$I$78)</f>
        <v>26.826225429211245</v>
      </c>
      <c r="C13" s="820" cm="1">
        <f t="array" ref="C13">SUMPRODUCT(($D$28:$D$78=A13) * $K$28:$K$78, $O$28:$O$78) / SUMIF($D$28:$D$78, A13, $O$28:$O$78)</f>
        <v>27.929970680778034</v>
      </c>
      <c r="D13" s="1057" cm="1">
        <f t="array" ref="D13">SUMPRODUCT(($D$28:$D$78=A13) * $Q$28:$Q$78, $U$28:$U$78) / SUMIF($D$28:$D$78, A13, $U$28:$U$78)</f>
        <v>26.301340782122903</v>
      </c>
      <c r="F13" s="87"/>
      <c r="H13" s="834" t="s">
        <v>34</v>
      </c>
      <c r="I13" s="820">
        <f t="shared" si="0"/>
        <v>26.221368426846336</v>
      </c>
      <c r="J13" s="820">
        <f t="shared" si="1"/>
        <v>26.930406512669737</v>
      </c>
      <c r="K13" s="820">
        <f t="shared" si="2"/>
        <v>25.388899522251343</v>
      </c>
      <c r="L13" s="821">
        <f t="shared" si="3"/>
        <v>0.27699999999999997</v>
      </c>
      <c r="N13" s="30" t="s">
        <v>324</v>
      </c>
      <c r="S13" s="170" t="s">
        <v>34</v>
      </c>
      <c r="T13" s="444">
        <f t="shared" si="4"/>
        <v>0.91757801788659321</v>
      </c>
      <c r="U13" s="726">
        <f t="shared" si="5"/>
        <v>0.8567541281515858</v>
      </c>
      <c r="V13" s="727">
        <f t="shared" si="6"/>
        <v>0.82248232961975931</v>
      </c>
    </row>
    <row r="14" spans="1:22" ht="20.25" x14ac:dyDescent="0.35">
      <c r="A14" s="834" t="s">
        <v>20</v>
      </c>
      <c r="B14" s="820" cm="1">
        <f t="array" ref="B14">SUMPRODUCT(($D$28:$D$78=A14) * $E$28:$E$78, $I$28:$I$78) / SUMIF($D$28:$D$78, A14, $I$28:$I$78)</f>
        <v>26.918399359743898</v>
      </c>
      <c r="C14" s="820" cm="1">
        <f t="array" ref="C14">SUMPRODUCT(($D$28:$D$78=A14) * $K$28:$K$78, $O$28:$O$78) / SUMIF($D$28:$D$78, A14, $O$28:$O$78)</f>
        <v>27.423775825219661</v>
      </c>
      <c r="D14" s="1057" cm="1">
        <f t="array" ref="D14">SUMPRODUCT(($D$28:$D$78=A14) * $Q$28:$Q$78, $U$28:$U$78) / SUMIF($D$28:$D$78, A14, $U$28:$U$78)</f>
        <v>24.361452044325564</v>
      </c>
      <c r="E14" s="330" t="s">
        <v>1399</v>
      </c>
      <c r="F14" s="87"/>
      <c r="H14" s="834" t="s">
        <v>20</v>
      </c>
      <c r="I14" s="820">
        <f t="shared" si="0"/>
        <v>26.311464090816095</v>
      </c>
      <c r="J14" s="820">
        <f t="shared" si="1"/>
        <v>26.442327474183994</v>
      </c>
      <c r="K14" s="820">
        <f t="shared" si="2"/>
        <v>23.516309046492779</v>
      </c>
      <c r="L14" s="821">
        <f t="shared" si="3"/>
        <v>0.27899999999999997</v>
      </c>
      <c r="N14" s="30" t="s">
        <v>325</v>
      </c>
      <c r="S14" s="170" t="s">
        <v>20</v>
      </c>
      <c r="T14" s="444">
        <f t="shared" si="4"/>
        <v>0.84990088774733885</v>
      </c>
      <c r="U14" s="726">
        <f t="shared" si="5"/>
        <v>0.8412265596802303</v>
      </c>
      <c r="V14" s="727">
        <f t="shared" si="6"/>
        <v>0.82530834885659732</v>
      </c>
    </row>
    <row r="15" spans="1:22" ht="20.25" customHeight="1" x14ac:dyDescent="0.3">
      <c r="A15" s="834" t="s">
        <v>27</v>
      </c>
      <c r="B15" s="820" cm="1">
        <f t="array" ref="B15">SUMPRODUCT(($D$28:$D$78=A15) * $E$28:$E$78, $I$28:$I$78) / SUMIF($D$28:$D$78, A15, $I$28:$I$78)</f>
        <v>27.34209199318569</v>
      </c>
      <c r="C15" s="820" cm="1">
        <f t="array" ref="C15">SUMPRODUCT(($D$28:$D$78=A15) * $K$28:$K$78, $O$28:$O$78) / SUMIF($D$28:$D$78, A15, $O$28:$O$78)</f>
        <v>27.053128948731228</v>
      </c>
      <c r="D15" s="1057" cm="1">
        <f t="array" ref="D15">SUMPRODUCT(($D$28:$D$78=A15) * $Q$28:$Q$78, $U$28:$U$78) / SUMIF($D$28:$D$78, A15, $U$28:$U$78)</f>
        <v>25.882778378378379</v>
      </c>
      <c r="E15" s="1201" t="s">
        <v>1564</v>
      </c>
      <c r="F15" s="1201"/>
      <c r="G15" s="1201"/>
      <c r="H15" s="834" t="s">
        <v>27</v>
      </c>
      <c r="I15" s="820">
        <f t="shared" si="0"/>
        <v>26.725603630146157</v>
      </c>
      <c r="J15" s="820">
        <f t="shared" si="1"/>
        <v>26.084945392742913</v>
      </c>
      <c r="K15" s="820">
        <f t="shared" si="2"/>
        <v>24.984857808161816</v>
      </c>
      <c r="L15" s="821">
        <f t="shared" si="3"/>
        <v>0.27100000000000002</v>
      </c>
      <c r="S15" s="170" t="s">
        <v>27</v>
      </c>
      <c r="T15" s="444">
        <f t="shared" si="4"/>
        <v>0.90297558130469857</v>
      </c>
      <c r="U15" s="726">
        <f t="shared" si="5"/>
        <v>0.82985693651995607</v>
      </c>
      <c r="V15" s="727">
        <f t="shared" si="6"/>
        <v>0.8382986111324251</v>
      </c>
    </row>
    <row r="16" spans="1:22" x14ac:dyDescent="0.3">
      <c r="A16" s="834" t="s">
        <v>25</v>
      </c>
      <c r="B16" s="820" cm="1">
        <f t="array" ref="B16">SUMPRODUCT(($D$28:$D$78=A16) * $E$28:$E$78, $I$28:$I$78) / SUMIF($D$28:$D$78, A16, $I$28:$I$78)</f>
        <v>29.999391771019678</v>
      </c>
      <c r="C16" s="820" cm="1">
        <f t="array" ref="C16">SUMPRODUCT(($D$28:$D$78=A16) * $K$28:$K$78, $O$28:$O$78) / SUMIF($D$28:$D$78, A16, $O$28:$O$78)</f>
        <v>29.595971818710055</v>
      </c>
      <c r="D16" s="1057" cm="1">
        <f t="array" ref="D16">SUMPRODUCT(($D$28:$D$78=A16) * $Q$28:$Q$78, $U$28:$U$78) / SUMIF($D$28:$D$78, A16, $U$28:$U$78)</f>
        <v>27.408000561639987</v>
      </c>
      <c r="E16" s="1201"/>
      <c r="F16" s="1201"/>
      <c r="G16" s="1201"/>
      <c r="H16" s="834" t="s">
        <v>25</v>
      </c>
      <c r="I16" s="820">
        <f t="shared" si="0"/>
        <v>29.322988665883951</v>
      </c>
      <c r="J16" s="820">
        <f t="shared" si="1"/>
        <v>28.536784421471388</v>
      </c>
      <c r="K16" s="820">
        <f t="shared" si="2"/>
        <v>26.457167264957967</v>
      </c>
      <c r="L16" s="821">
        <f t="shared" si="3"/>
        <v>0.29100000000000004</v>
      </c>
      <c r="S16" s="170" t="s">
        <v>25</v>
      </c>
      <c r="T16" s="444">
        <f t="shared" si="4"/>
        <v>0.95618618981881287</v>
      </c>
      <c r="U16" s="726">
        <f t="shared" si="5"/>
        <v>0.90785884890987978</v>
      </c>
      <c r="V16" s="727">
        <f t="shared" si="6"/>
        <v>0.91977045731288232</v>
      </c>
    </row>
    <row r="17" spans="1:44" x14ac:dyDescent="0.3">
      <c r="A17" s="834" t="s">
        <v>23</v>
      </c>
      <c r="B17" s="820" cm="1">
        <f t="array" ref="B17">SUMPRODUCT(($D$28:$D$78=A17) * $E$28:$E$78, $I$28:$I$78) / SUMIF($D$28:$D$78, A17, $I$28:$I$78)</f>
        <v>37.230750687591005</v>
      </c>
      <c r="C17" s="820" cm="1">
        <f t="array" ref="C17">SUMPRODUCT(($D$28:$D$78=A17) * $K$28:$K$78, $O$28:$O$78) / SUMIF($D$28:$D$78, A17, $O$28:$O$78)</f>
        <v>40.994098979977323</v>
      </c>
      <c r="D17" s="1057" cm="1">
        <f t="array" ref="D17">SUMPRODUCT(($D$28:$D$78=A17) * $Q$28:$Q$78, $U$28:$U$78) / SUMIF($D$28:$D$78, A17, $U$28:$U$78)</f>
        <v>33.693218718209565</v>
      </c>
      <c r="E17" s="1201"/>
      <c r="F17" s="1201"/>
      <c r="G17" s="1201"/>
      <c r="H17" s="834" t="s">
        <v>23</v>
      </c>
      <c r="I17" s="820">
        <f t="shared" si="0"/>
        <v>36.391300489272375</v>
      </c>
      <c r="J17" s="820">
        <f t="shared" si="1"/>
        <v>39.526992805302001</v>
      </c>
      <c r="K17" s="820">
        <f t="shared" si="2"/>
        <v>32.52433979332725</v>
      </c>
      <c r="L17" s="821">
        <f t="shared" si="3"/>
        <v>0.29299999999999998</v>
      </c>
      <c r="S17" s="170" t="s">
        <v>23</v>
      </c>
      <c r="T17" s="444">
        <f t="shared" si="4"/>
        <v>1.1754593464941525</v>
      </c>
      <c r="U17" s="726">
        <f t="shared" si="5"/>
        <v>1.257497329029488</v>
      </c>
      <c r="V17" s="727">
        <f t="shared" si="6"/>
        <v>1.1414812956010654</v>
      </c>
    </row>
    <row r="18" spans="1:44" ht="29.25" thickBot="1" x14ac:dyDescent="0.35">
      <c r="A18" s="958" t="s">
        <v>1364</v>
      </c>
      <c r="B18" s="1058">
        <f>SUMPRODUCT($E$28:$E$78,$I$28:$I$78)/SUM($I$28:$I$78)</f>
        <v>32.616172363986522</v>
      </c>
      <c r="C18" s="1058">
        <f>SUMPRODUCT($K$28:$K$78,$O$28:$O$78)/SUM($O$28:$O$78)</f>
        <v>32.599750340317442</v>
      </c>
      <c r="D18" s="1059">
        <f>SUMPRODUCT($Q$28:$Q$78,$U$28:$U$78)/SUM($U$28:$U$78)</f>
        <v>28.663874100538425</v>
      </c>
      <c r="E18" s="1201"/>
      <c r="F18" s="1201"/>
      <c r="G18" s="1201"/>
      <c r="H18" s="959" t="s">
        <v>1365</v>
      </c>
      <c r="I18" s="820">
        <f>B18/(1+I19)</f>
        <v>31.880768112025827</v>
      </c>
      <c r="J18" s="820">
        <f>C18/(1+J19)</f>
        <v>31.433063031480287</v>
      </c>
      <c r="K18" s="820">
        <f>D18/(1+K19)</f>
        <v>27.669472270846455</v>
      </c>
      <c r="L18" s="821">
        <f>AVERAGE(L9:L17)</f>
        <v>0.29433333333333334</v>
      </c>
      <c r="M18" s="30" t="s">
        <v>329</v>
      </c>
      <c r="S18" s="171" t="s">
        <v>392</v>
      </c>
      <c r="T18" s="715">
        <v>1</v>
      </c>
      <c r="U18" s="715">
        <v>1</v>
      </c>
      <c r="V18" s="716">
        <v>1</v>
      </c>
    </row>
    <row r="19" spans="1:44" ht="19.5" thickBot="1" x14ac:dyDescent="0.35">
      <c r="E19" s="1201"/>
      <c r="F19" s="1201"/>
      <c r="G19" s="1201"/>
      <c r="H19" s="960" t="s">
        <v>159</v>
      </c>
      <c r="I19" s="518">
        <f>Q10</f>
        <v>2.3067331670822866E-2</v>
      </c>
      <c r="J19" s="518">
        <f>Q11</f>
        <v>3.7116564417177922E-2</v>
      </c>
      <c r="K19" s="518">
        <f>Q12</f>
        <v>3.5938590369853474E-2</v>
      </c>
      <c r="L19" s="822"/>
      <c r="M19" s="404" t="s">
        <v>330</v>
      </c>
    </row>
    <row r="20" spans="1:44" x14ac:dyDescent="0.3">
      <c r="E20" s="1201"/>
      <c r="F20" s="1201"/>
      <c r="G20" s="1201"/>
      <c r="M20" s="30" t="s">
        <v>331</v>
      </c>
    </row>
    <row r="21" spans="1:44" ht="20.25" customHeight="1" x14ac:dyDescent="0.3">
      <c r="E21" s="1201"/>
      <c r="F21" s="1201"/>
      <c r="G21" s="1201"/>
      <c r="H21" s="50"/>
      <c r="L21" s="449" t="s">
        <v>1463</v>
      </c>
    </row>
    <row r="22" spans="1:44" ht="18.75" customHeight="1" x14ac:dyDescent="0.3">
      <c r="E22" s="89"/>
      <c r="F22" s="89"/>
      <c r="G22" s="89"/>
    </row>
    <row r="23" spans="1:44" x14ac:dyDescent="0.3">
      <c r="B23" s="90"/>
    </row>
    <row r="24" spans="1:44" ht="19.5" thickBot="1" x14ac:dyDescent="0.35">
      <c r="A24" s="5" t="s">
        <v>1465</v>
      </c>
      <c r="C24" s="108"/>
      <c r="F24" s="87"/>
    </row>
    <row r="25" spans="1:44" x14ac:dyDescent="0.3">
      <c r="A25" s="1305" t="s">
        <v>508</v>
      </c>
      <c r="B25" s="1306"/>
      <c r="C25" s="1306"/>
      <c r="D25" s="1306"/>
      <c r="E25" s="1306"/>
      <c r="F25" s="1306"/>
      <c r="G25" s="1306"/>
      <c r="H25" s="1306"/>
      <c r="I25" s="1306"/>
      <c r="J25" s="1306"/>
      <c r="K25" s="1306"/>
      <c r="L25" s="1306"/>
      <c r="M25" s="1306"/>
      <c r="N25" s="1306"/>
      <c r="O25" s="1306"/>
      <c r="P25" s="1306"/>
      <c r="Q25" s="1306"/>
      <c r="R25" s="1306"/>
      <c r="S25" s="1306"/>
      <c r="T25" s="1306"/>
      <c r="U25" s="1306"/>
      <c r="V25" s="1307"/>
    </row>
    <row r="26" spans="1:44" ht="42" customHeight="1" x14ac:dyDescent="0.3">
      <c r="A26" s="174" t="s">
        <v>169</v>
      </c>
      <c r="C26" s="108"/>
      <c r="E26" s="1315" t="s">
        <v>509</v>
      </c>
      <c r="F26" s="1315"/>
      <c r="G26" s="1315"/>
      <c r="H26" s="1315"/>
      <c r="I26" s="1315"/>
      <c r="J26" s="1315"/>
      <c r="K26" s="1315" t="s">
        <v>510</v>
      </c>
      <c r="L26" s="1315"/>
      <c r="M26" s="1315"/>
      <c r="N26" s="1315"/>
      <c r="O26" s="1315"/>
      <c r="P26" s="1315"/>
      <c r="Q26" s="1315" t="s">
        <v>511</v>
      </c>
      <c r="R26" s="1315"/>
      <c r="S26" s="1315"/>
      <c r="T26" s="1315"/>
      <c r="U26" s="1315"/>
      <c r="V26" s="1315"/>
      <c r="Z26" s="127"/>
      <c r="AA26" s="88"/>
      <c r="AB26" s="88"/>
      <c r="AC26" s="88"/>
      <c r="AD26" s="88"/>
    </row>
    <row r="27" spans="1:44" s="99" customFormat="1" ht="96.75" x14ac:dyDescent="0.3">
      <c r="A27" s="175" t="s">
        <v>15</v>
      </c>
      <c r="B27" s="91" t="s">
        <v>81</v>
      </c>
      <c r="C27" s="92" t="s">
        <v>16</v>
      </c>
      <c r="D27" s="92" t="s">
        <v>17</v>
      </c>
      <c r="E27" s="293" t="s">
        <v>132</v>
      </c>
      <c r="F27" s="293" t="s">
        <v>260</v>
      </c>
      <c r="G27" s="293" t="s">
        <v>131</v>
      </c>
      <c r="H27" s="293" t="s">
        <v>130</v>
      </c>
      <c r="I27" s="293" t="s">
        <v>261</v>
      </c>
      <c r="J27" s="293" t="s">
        <v>262</v>
      </c>
      <c r="K27" s="294" t="s">
        <v>132</v>
      </c>
      <c r="L27" s="294" t="s">
        <v>512</v>
      </c>
      <c r="M27" s="294" t="s">
        <v>131</v>
      </c>
      <c r="N27" s="294" t="s">
        <v>130</v>
      </c>
      <c r="O27" s="294" t="s">
        <v>261</v>
      </c>
      <c r="P27" s="295" t="s">
        <v>262</v>
      </c>
      <c r="Q27" s="296" t="s">
        <v>132</v>
      </c>
      <c r="R27" s="296" t="s">
        <v>260</v>
      </c>
      <c r="S27" s="296" t="s">
        <v>131</v>
      </c>
      <c r="T27" s="296" t="s">
        <v>130</v>
      </c>
      <c r="U27" s="296" t="s">
        <v>261</v>
      </c>
      <c r="V27" s="297" t="s">
        <v>262</v>
      </c>
      <c r="Z27" s="172"/>
      <c r="AA27" s="87"/>
      <c r="AL27" s="87"/>
      <c r="AM27" s="87"/>
      <c r="AN27" s="87"/>
      <c r="AO27" s="87"/>
      <c r="AP27" s="87"/>
      <c r="AQ27" s="87"/>
      <c r="AR27" s="87"/>
    </row>
    <row r="28" spans="1:44" x14ac:dyDescent="0.3">
      <c r="A28" s="224" t="s">
        <v>18</v>
      </c>
      <c r="B28" s="5" t="s">
        <v>19</v>
      </c>
      <c r="C28" s="159">
        <v>6</v>
      </c>
      <c r="D28" s="20" t="s">
        <v>20</v>
      </c>
      <c r="E28" s="823">
        <v>25.42</v>
      </c>
      <c r="F28" s="823">
        <v>1.2</v>
      </c>
      <c r="G28" s="823">
        <v>24.36</v>
      </c>
      <c r="H28" s="823">
        <v>1.23</v>
      </c>
      <c r="I28" s="823">
        <v>7250</v>
      </c>
      <c r="J28" s="823">
        <v>5.5</v>
      </c>
      <c r="K28" s="823">
        <v>26.2</v>
      </c>
      <c r="L28" s="823">
        <v>1.3</v>
      </c>
      <c r="M28" s="823">
        <v>24.76</v>
      </c>
      <c r="N28" s="823">
        <v>1.06</v>
      </c>
      <c r="O28" s="823">
        <v>10250</v>
      </c>
      <c r="P28" s="823">
        <v>4.4000000000000004</v>
      </c>
      <c r="Q28" s="823">
        <v>23.74</v>
      </c>
      <c r="R28" s="823">
        <v>2.1</v>
      </c>
      <c r="S28" s="823">
        <v>22.62</v>
      </c>
      <c r="T28" s="823">
        <v>1.28</v>
      </c>
      <c r="U28" s="823">
        <v>6900</v>
      </c>
      <c r="V28" s="824">
        <v>5.5</v>
      </c>
      <c r="Z28" s="127"/>
      <c r="AK28" s="103"/>
      <c r="AL28" s="99"/>
      <c r="AM28" s="99"/>
      <c r="AN28" s="103"/>
      <c r="AO28" s="103"/>
      <c r="AP28" s="103"/>
      <c r="AQ28" s="103"/>
      <c r="AR28" s="103"/>
    </row>
    <row r="29" spans="1:44" x14ac:dyDescent="0.3">
      <c r="A29" s="224" t="s">
        <v>21</v>
      </c>
      <c r="B29" s="5" t="s">
        <v>22</v>
      </c>
      <c r="C29" s="159">
        <v>9</v>
      </c>
      <c r="D29" s="20" t="s">
        <v>23</v>
      </c>
      <c r="E29" s="823">
        <v>39.47</v>
      </c>
      <c r="F29" s="823">
        <v>2</v>
      </c>
      <c r="G29" s="823">
        <v>39.26</v>
      </c>
      <c r="H29" s="823">
        <v>1.07</v>
      </c>
      <c r="I29" s="823">
        <v>960</v>
      </c>
      <c r="J29" s="823">
        <v>9.3000000000000007</v>
      </c>
      <c r="K29" s="823">
        <v>39.5</v>
      </c>
      <c r="L29" s="823">
        <v>1.6</v>
      </c>
      <c r="M29" s="823">
        <v>39.5</v>
      </c>
      <c r="N29" s="823">
        <v>1.1100000000000001</v>
      </c>
      <c r="O29" s="823">
        <v>1620</v>
      </c>
      <c r="P29" s="823">
        <v>6.5</v>
      </c>
      <c r="Q29" s="823">
        <v>36.380000000000003</v>
      </c>
      <c r="R29" s="823">
        <v>4.8</v>
      </c>
      <c r="S29" s="823">
        <v>36.24</v>
      </c>
      <c r="T29" s="823">
        <v>0.74</v>
      </c>
      <c r="U29" s="823">
        <v>610</v>
      </c>
      <c r="V29" s="824">
        <v>13.4</v>
      </c>
      <c r="Z29" s="127"/>
      <c r="AK29" s="109"/>
      <c r="AL29" s="103"/>
    </row>
    <row r="30" spans="1:44" x14ac:dyDescent="0.3">
      <c r="A30" s="224" t="s">
        <v>24</v>
      </c>
      <c r="B30" s="5" t="s">
        <v>22</v>
      </c>
      <c r="C30" s="159">
        <v>8</v>
      </c>
      <c r="D30" s="20" t="s">
        <v>25</v>
      </c>
      <c r="E30" s="823">
        <v>29.2</v>
      </c>
      <c r="F30" s="823">
        <v>1.5</v>
      </c>
      <c r="G30" s="823">
        <v>27.35</v>
      </c>
      <c r="H30" s="823">
        <v>1.07</v>
      </c>
      <c r="I30" s="823">
        <v>9640</v>
      </c>
      <c r="J30" s="823">
        <v>6.2</v>
      </c>
      <c r="K30" s="823">
        <v>28.57</v>
      </c>
      <c r="L30" s="823">
        <v>1.1000000000000001</v>
      </c>
      <c r="M30" s="823">
        <v>29.06</v>
      </c>
      <c r="N30" s="823">
        <v>1.2</v>
      </c>
      <c r="O30" s="823">
        <v>17640</v>
      </c>
      <c r="P30" s="823">
        <v>5.2</v>
      </c>
      <c r="Q30" s="823">
        <v>26.61</v>
      </c>
      <c r="R30" s="823">
        <v>2.7</v>
      </c>
      <c r="S30" s="823">
        <v>23.86</v>
      </c>
      <c r="T30" s="823">
        <v>1.34</v>
      </c>
      <c r="U30" s="823">
        <v>10980</v>
      </c>
      <c r="V30" s="824">
        <v>7.6</v>
      </c>
      <c r="Z30" s="127"/>
      <c r="AK30" s="109"/>
      <c r="AL30" s="109"/>
    </row>
    <row r="31" spans="1:44" x14ac:dyDescent="0.3">
      <c r="A31" s="224" t="s">
        <v>26</v>
      </c>
      <c r="B31" s="5" t="s">
        <v>19</v>
      </c>
      <c r="C31" s="159">
        <v>7</v>
      </c>
      <c r="D31" s="20" t="s">
        <v>27</v>
      </c>
      <c r="E31" s="823">
        <v>23.35</v>
      </c>
      <c r="F31" s="823">
        <v>1.8</v>
      </c>
      <c r="G31" s="823">
        <v>22.82</v>
      </c>
      <c r="H31" s="823">
        <v>0.96</v>
      </c>
      <c r="I31" s="823">
        <v>3520</v>
      </c>
      <c r="J31" s="823">
        <v>10.5</v>
      </c>
      <c r="K31" s="823">
        <v>23.94</v>
      </c>
      <c r="L31" s="823">
        <v>1.1000000000000001</v>
      </c>
      <c r="M31" s="823">
        <v>23.31</v>
      </c>
      <c r="N31" s="823">
        <v>1.28</v>
      </c>
      <c r="O31" s="823">
        <v>7650</v>
      </c>
      <c r="P31" s="823">
        <v>4.0999999999999996</v>
      </c>
      <c r="Q31" s="823">
        <v>23.72</v>
      </c>
      <c r="R31" s="823">
        <v>1.8</v>
      </c>
      <c r="S31" s="823">
        <v>22.9</v>
      </c>
      <c r="T31" s="823">
        <v>1.1499999999999999</v>
      </c>
      <c r="U31" s="823">
        <v>3830</v>
      </c>
      <c r="V31" s="824">
        <v>6.4</v>
      </c>
      <c r="Z31" s="127"/>
      <c r="AK31" s="109"/>
      <c r="AL31" s="109"/>
    </row>
    <row r="32" spans="1:44" x14ac:dyDescent="0.3">
      <c r="A32" s="224" t="s">
        <v>28</v>
      </c>
      <c r="B32" s="5" t="s">
        <v>22</v>
      </c>
      <c r="C32" s="159">
        <v>9</v>
      </c>
      <c r="D32" s="20" t="s">
        <v>23</v>
      </c>
      <c r="E32" s="823">
        <v>36.200000000000003</v>
      </c>
      <c r="F32" s="823">
        <v>1.6</v>
      </c>
      <c r="G32" s="823">
        <v>30.28</v>
      </c>
      <c r="H32" s="823">
        <v>0.82</v>
      </c>
      <c r="I32" s="823">
        <v>42480</v>
      </c>
      <c r="J32" s="823">
        <v>3.7</v>
      </c>
      <c r="K32" s="823">
        <v>40.54</v>
      </c>
      <c r="L32" s="823">
        <v>1.1000000000000001</v>
      </c>
      <c r="M32" s="823">
        <v>37.25</v>
      </c>
      <c r="N32" s="823">
        <v>0.87</v>
      </c>
      <c r="O32" s="823">
        <v>72880</v>
      </c>
      <c r="P32" s="823">
        <v>2.7</v>
      </c>
      <c r="Q32" s="823">
        <v>33.68</v>
      </c>
      <c r="R32" s="823">
        <v>1.9</v>
      </c>
      <c r="S32" s="823">
        <v>29.92</v>
      </c>
      <c r="T32" s="823">
        <v>0.76</v>
      </c>
      <c r="U32" s="823">
        <v>35630</v>
      </c>
      <c r="V32" s="824">
        <v>5.0999999999999996</v>
      </c>
      <c r="Z32" s="127"/>
      <c r="AK32" s="109"/>
      <c r="AL32" s="109"/>
    </row>
    <row r="33" spans="1:38" x14ac:dyDescent="0.3">
      <c r="A33" s="224" t="s">
        <v>29</v>
      </c>
      <c r="B33" s="5" t="s">
        <v>22</v>
      </c>
      <c r="C33" s="159">
        <v>8</v>
      </c>
      <c r="D33" s="20" t="s">
        <v>25</v>
      </c>
      <c r="E33" s="823">
        <v>30.86</v>
      </c>
      <c r="F33" s="823">
        <v>1.3</v>
      </c>
      <c r="G33" s="823">
        <v>29.75</v>
      </c>
      <c r="H33" s="823">
        <v>1.1499999999999999</v>
      </c>
      <c r="I33" s="823">
        <v>9340</v>
      </c>
      <c r="J33" s="823">
        <v>6.1</v>
      </c>
      <c r="K33" s="823">
        <v>30.17</v>
      </c>
      <c r="L33" s="823">
        <v>1.3</v>
      </c>
      <c r="M33" s="823">
        <v>29.25</v>
      </c>
      <c r="N33" s="823">
        <v>1.21</v>
      </c>
      <c r="O33" s="823">
        <v>16110</v>
      </c>
      <c r="P33" s="823">
        <v>4.9000000000000004</v>
      </c>
      <c r="Q33" s="823">
        <v>30.19</v>
      </c>
      <c r="R33" s="823">
        <v>1.9</v>
      </c>
      <c r="S33" s="823">
        <v>29.48</v>
      </c>
      <c r="T33" s="823">
        <v>1</v>
      </c>
      <c r="U33" s="823">
        <v>7410</v>
      </c>
      <c r="V33" s="824">
        <v>5.8</v>
      </c>
      <c r="Z33" s="127"/>
      <c r="AK33" s="109"/>
      <c r="AL33" s="109"/>
    </row>
    <row r="34" spans="1:38" x14ac:dyDescent="0.3">
      <c r="A34" s="224" t="s">
        <v>30</v>
      </c>
      <c r="B34" s="5" t="s">
        <v>31</v>
      </c>
      <c r="C34" s="159">
        <v>1</v>
      </c>
      <c r="D34" s="20" t="s">
        <v>32</v>
      </c>
      <c r="E34" s="823">
        <v>32.01</v>
      </c>
      <c r="F34" s="823">
        <v>2.2000000000000002</v>
      </c>
      <c r="G34" s="823">
        <v>31.04</v>
      </c>
      <c r="H34" s="823">
        <v>0.9</v>
      </c>
      <c r="I34" s="823">
        <v>4310</v>
      </c>
      <c r="J34" s="823">
        <v>7</v>
      </c>
      <c r="K34" s="823">
        <v>33.18</v>
      </c>
      <c r="L34" s="823">
        <v>1.5</v>
      </c>
      <c r="M34" s="823">
        <v>34.380000000000003</v>
      </c>
      <c r="N34" s="823">
        <v>0.93</v>
      </c>
      <c r="O34" s="823">
        <v>7230</v>
      </c>
      <c r="P34" s="823">
        <v>4</v>
      </c>
      <c r="Q34" s="823">
        <v>32.42</v>
      </c>
      <c r="R34" s="823">
        <v>2.4</v>
      </c>
      <c r="S34" s="823">
        <v>31.15</v>
      </c>
      <c r="T34" s="823">
        <v>1.0900000000000001</v>
      </c>
      <c r="U34" s="823">
        <v>4720</v>
      </c>
      <c r="V34" s="824">
        <v>7.9</v>
      </c>
      <c r="Z34" s="127"/>
      <c r="AK34" s="109"/>
      <c r="AL34" s="109"/>
    </row>
    <row r="35" spans="1:38" x14ac:dyDescent="0.3">
      <c r="A35" s="224" t="s">
        <v>33</v>
      </c>
      <c r="B35" s="5" t="s">
        <v>31</v>
      </c>
      <c r="C35" s="159">
        <v>5</v>
      </c>
      <c r="D35" s="20" t="s">
        <v>34</v>
      </c>
      <c r="E35" s="823">
        <v>30.83</v>
      </c>
      <c r="F35" s="823">
        <v>4.2</v>
      </c>
      <c r="G35" s="823">
        <v>30.29</v>
      </c>
      <c r="H35" s="823">
        <v>0.88</v>
      </c>
      <c r="I35" s="823">
        <v>1190</v>
      </c>
      <c r="J35" s="823">
        <v>12.3</v>
      </c>
      <c r="K35" s="823">
        <v>30.93</v>
      </c>
      <c r="L35" s="823">
        <v>3.2</v>
      </c>
      <c r="M35" s="823">
        <v>29.32</v>
      </c>
      <c r="N35" s="823">
        <v>1.1000000000000001</v>
      </c>
      <c r="O35" s="823">
        <v>2420</v>
      </c>
      <c r="P35" s="823">
        <v>6.6</v>
      </c>
      <c r="Q35" s="823">
        <v>30.85</v>
      </c>
      <c r="R35" s="823">
        <v>3.4</v>
      </c>
      <c r="S35" s="823">
        <v>29.11</v>
      </c>
      <c r="T35" s="823">
        <v>1.62</v>
      </c>
      <c r="U35" s="823">
        <v>1990</v>
      </c>
      <c r="V35" s="824">
        <v>9.5</v>
      </c>
      <c r="Z35" s="127"/>
      <c r="AK35" s="109"/>
      <c r="AL35" s="109"/>
    </row>
    <row r="36" spans="1:38" x14ac:dyDescent="0.3">
      <c r="A36" s="224" t="s">
        <v>133</v>
      </c>
      <c r="B36" s="5" t="s">
        <v>40</v>
      </c>
      <c r="C36" s="159">
        <v>5</v>
      </c>
      <c r="D36" s="20" t="s">
        <v>34</v>
      </c>
      <c r="E36" s="823">
        <v>40.61</v>
      </c>
      <c r="F36" s="823">
        <v>3.1</v>
      </c>
      <c r="G36" s="823">
        <v>40.61</v>
      </c>
      <c r="H36" s="823">
        <v>0.31</v>
      </c>
      <c r="I36" s="823">
        <v>630</v>
      </c>
      <c r="J36" s="823">
        <v>15.2</v>
      </c>
      <c r="K36" s="823">
        <v>42.72</v>
      </c>
      <c r="L36" s="823">
        <v>3.6</v>
      </c>
      <c r="M36" s="823">
        <v>38.229999999999997</v>
      </c>
      <c r="N36" s="823">
        <v>0.56999999999999995</v>
      </c>
      <c r="O36" s="823">
        <v>1860</v>
      </c>
      <c r="P36" s="823">
        <v>9.1999999999999993</v>
      </c>
      <c r="Q36" s="823">
        <v>37.49</v>
      </c>
      <c r="R36" s="823">
        <v>3.4</v>
      </c>
      <c r="S36" s="823">
        <v>37.86</v>
      </c>
      <c r="T36" s="823">
        <v>0.19</v>
      </c>
      <c r="U36" s="823">
        <v>340</v>
      </c>
      <c r="V36" s="824">
        <v>19.399999999999999</v>
      </c>
      <c r="Z36" s="127"/>
      <c r="AK36" s="109"/>
      <c r="AL36" s="109"/>
    </row>
    <row r="37" spans="1:38" x14ac:dyDescent="0.3">
      <c r="A37" s="224" t="s">
        <v>35</v>
      </c>
      <c r="B37" s="5" t="s">
        <v>19</v>
      </c>
      <c r="C37" s="159">
        <v>5</v>
      </c>
      <c r="D37" s="20" t="s">
        <v>34</v>
      </c>
      <c r="E37" s="823">
        <v>24.92</v>
      </c>
      <c r="F37" s="823">
        <v>1.2</v>
      </c>
      <c r="G37" s="823">
        <v>23.69</v>
      </c>
      <c r="H37" s="823">
        <v>1.05</v>
      </c>
      <c r="I37" s="823">
        <v>28750</v>
      </c>
      <c r="J37" s="823">
        <v>4.7</v>
      </c>
      <c r="K37" s="823">
        <v>25.18</v>
      </c>
      <c r="L37" s="823">
        <v>0.7</v>
      </c>
      <c r="M37" s="823">
        <v>24.1</v>
      </c>
      <c r="N37" s="823">
        <v>1.04</v>
      </c>
      <c r="O37" s="823">
        <v>46690</v>
      </c>
      <c r="P37" s="823">
        <v>3.1</v>
      </c>
      <c r="Q37" s="823">
        <v>25.11</v>
      </c>
      <c r="R37" s="823">
        <v>1</v>
      </c>
      <c r="S37" s="823">
        <v>23.66</v>
      </c>
      <c r="T37" s="823">
        <v>1.49</v>
      </c>
      <c r="U37" s="823">
        <v>37370</v>
      </c>
      <c r="V37" s="824">
        <v>4.5</v>
      </c>
      <c r="Z37" s="127"/>
      <c r="AK37" s="109"/>
      <c r="AL37" s="109"/>
    </row>
    <row r="38" spans="1:38" x14ac:dyDescent="0.3">
      <c r="A38" s="224" t="s">
        <v>36</v>
      </c>
      <c r="B38" s="5" t="s">
        <v>19</v>
      </c>
      <c r="C38" s="159">
        <v>5</v>
      </c>
      <c r="D38" s="20" t="s">
        <v>34</v>
      </c>
      <c r="E38" s="823">
        <v>27.39</v>
      </c>
      <c r="F38" s="823">
        <v>2.4</v>
      </c>
      <c r="G38" s="823">
        <v>27.67</v>
      </c>
      <c r="H38" s="823">
        <v>0.55000000000000004</v>
      </c>
      <c r="I38" s="823">
        <v>7520</v>
      </c>
      <c r="J38" s="823">
        <v>9.1</v>
      </c>
      <c r="K38" s="823">
        <v>27.85</v>
      </c>
      <c r="L38" s="823">
        <v>1</v>
      </c>
      <c r="M38" s="823">
        <v>26.59</v>
      </c>
      <c r="N38" s="823">
        <v>0.94</v>
      </c>
      <c r="O38" s="823">
        <v>21010</v>
      </c>
      <c r="P38" s="823">
        <v>3.3</v>
      </c>
      <c r="Q38" s="823">
        <v>25.72</v>
      </c>
      <c r="R38" s="823">
        <v>1.2</v>
      </c>
      <c r="S38" s="823">
        <v>24.34</v>
      </c>
      <c r="T38" s="823">
        <v>0.93</v>
      </c>
      <c r="U38" s="823">
        <v>11520</v>
      </c>
      <c r="V38" s="824">
        <v>7</v>
      </c>
      <c r="Z38" s="127"/>
      <c r="AL38" s="109"/>
    </row>
    <row r="39" spans="1:38" x14ac:dyDescent="0.3">
      <c r="A39" s="224" t="s">
        <v>37</v>
      </c>
      <c r="B39" s="5" t="s">
        <v>22</v>
      </c>
      <c r="C39" s="159">
        <v>9</v>
      </c>
      <c r="D39" s="20" t="s">
        <v>23</v>
      </c>
      <c r="E39" s="823">
        <v>35.99</v>
      </c>
      <c r="F39" s="823">
        <v>2.2000000000000002</v>
      </c>
      <c r="G39" s="823">
        <v>35.619999999999997</v>
      </c>
      <c r="H39" s="823">
        <v>1.51</v>
      </c>
      <c r="I39" s="823">
        <v>2680</v>
      </c>
      <c r="J39" s="823">
        <v>6</v>
      </c>
      <c r="K39" s="823">
        <v>42.44</v>
      </c>
      <c r="L39" s="823">
        <v>1.7</v>
      </c>
      <c r="M39" s="823">
        <v>44.59</v>
      </c>
      <c r="N39" s="823">
        <v>1.1399999999999999</v>
      </c>
      <c r="O39" s="823">
        <v>3300</v>
      </c>
      <c r="P39" s="823">
        <v>6.1</v>
      </c>
      <c r="Q39" s="823">
        <v>35.67</v>
      </c>
      <c r="R39" s="823">
        <v>3.6</v>
      </c>
      <c r="S39" s="823">
        <v>32.53</v>
      </c>
      <c r="T39" s="823">
        <v>0.5</v>
      </c>
      <c r="U39" s="823">
        <v>810</v>
      </c>
      <c r="V39" s="824">
        <v>15</v>
      </c>
      <c r="Z39" s="127"/>
    </row>
    <row r="40" spans="1:38" x14ac:dyDescent="0.3">
      <c r="A40" s="224" t="s">
        <v>38</v>
      </c>
      <c r="B40" s="5" t="s">
        <v>22</v>
      </c>
      <c r="C40" s="159">
        <v>8</v>
      </c>
      <c r="D40" s="20" t="s">
        <v>25</v>
      </c>
      <c r="E40" s="823">
        <v>29</v>
      </c>
      <c r="F40" s="823">
        <v>2.1</v>
      </c>
      <c r="G40" s="823">
        <v>29.42</v>
      </c>
      <c r="H40" s="823">
        <v>1.42</v>
      </c>
      <c r="I40" s="823">
        <v>3360</v>
      </c>
      <c r="J40" s="823">
        <v>7.4</v>
      </c>
      <c r="K40" s="823">
        <v>26.56</v>
      </c>
      <c r="L40" s="823">
        <v>1.1000000000000001</v>
      </c>
      <c r="M40" s="823">
        <v>23.71</v>
      </c>
      <c r="N40" s="823">
        <v>1.31</v>
      </c>
      <c r="O40" s="823">
        <v>5050</v>
      </c>
      <c r="P40" s="823">
        <v>4.2</v>
      </c>
      <c r="Q40" s="823">
        <v>24.21</v>
      </c>
      <c r="R40" s="823">
        <v>1.1000000000000001</v>
      </c>
      <c r="S40" s="823">
        <v>22.84</v>
      </c>
      <c r="T40" s="823">
        <v>1.52</v>
      </c>
      <c r="U40" s="823">
        <v>3280</v>
      </c>
      <c r="V40" s="824">
        <v>7.1</v>
      </c>
      <c r="Z40" s="127"/>
    </row>
    <row r="41" spans="1:38" x14ac:dyDescent="0.3">
      <c r="A41" s="224" t="s">
        <v>39</v>
      </c>
      <c r="B41" s="5" t="s">
        <v>40</v>
      </c>
      <c r="C41" s="159">
        <v>3</v>
      </c>
      <c r="D41" s="20" t="s">
        <v>41</v>
      </c>
      <c r="E41" s="823">
        <v>42.51</v>
      </c>
      <c r="F41" s="823">
        <v>2.1</v>
      </c>
      <c r="G41" s="823">
        <v>45.43</v>
      </c>
      <c r="H41" s="823">
        <v>0.98</v>
      </c>
      <c r="I41" s="823">
        <v>16940</v>
      </c>
      <c r="J41" s="823">
        <v>5</v>
      </c>
      <c r="K41" s="823">
        <v>42.33</v>
      </c>
      <c r="L41" s="823">
        <v>1.5</v>
      </c>
      <c r="M41" s="823">
        <v>45.72</v>
      </c>
      <c r="N41" s="823">
        <v>0.78</v>
      </c>
      <c r="O41" s="823">
        <v>21890</v>
      </c>
      <c r="P41" s="823">
        <v>4.3</v>
      </c>
      <c r="Q41" s="823">
        <v>33.17</v>
      </c>
      <c r="R41" s="823">
        <v>3.6</v>
      </c>
      <c r="S41" s="823">
        <v>31.21</v>
      </c>
      <c r="T41" s="823">
        <v>0.66</v>
      </c>
      <c r="U41" s="823">
        <v>10380</v>
      </c>
      <c r="V41" s="824">
        <v>10.199999999999999</v>
      </c>
      <c r="Z41" s="127"/>
    </row>
    <row r="42" spans="1:38" x14ac:dyDescent="0.3">
      <c r="A42" s="224" t="s">
        <v>42</v>
      </c>
      <c r="B42" s="5" t="s">
        <v>40</v>
      </c>
      <c r="C42" s="159">
        <v>3</v>
      </c>
      <c r="D42" s="20" t="s">
        <v>41</v>
      </c>
      <c r="E42" s="823">
        <v>33.28</v>
      </c>
      <c r="F42" s="823">
        <v>1.5</v>
      </c>
      <c r="G42" s="823">
        <v>31.2</v>
      </c>
      <c r="H42" s="823">
        <v>1.22</v>
      </c>
      <c r="I42" s="823">
        <v>11040</v>
      </c>
      <c r="J42" s="823">
        <v>4.5999999999999996</v>
      </c>
      <c r="K42" s="823">
        <v>32.909999999999997</v>
      </c>
      <c r="L42" s="823">
        <v>0.8</v>
      </c>
      <c r="M42" s="823">
        <v>32.729999999999997</v>
      </c>
      <c r="N42" s="823">
        <v>1.06</v>
      </c>
      <c r="O42" s="823">
        <v>15650</v>
      </c>
      <c r="P42" s="823">
        <v>2.1</v>
      </c>
      <c r="Q42" s="823">
        <v>28.98</v>
      </c>
      <c r="R42" s="823">
        <v>2</v>
      </c>
      <c r="S42" s="823">
        <v>28.54</v>
      </c>
      <c r="T42" s="823">
        <v>1.03</v>
      </c>
      <c r="U42" s="823">
        <v>8550</v>
      </c>
      <c r="V42" s="824">
        <v>5.0999999999999996</v>
      </c>
      <c r="Z42" s="127"/>
    </row>
    <row r="43" spans="1:38" x14ac:dyDescent="0.3">
      <c r="A43" s="224" t="s">
        <v>43</v>
      </c>
      <c r="B43" s="5" t="s">
        <v>40</v>
      </c>
      <c r="C43" s="159">
        <v>4</v>
      </c>
      <c r="D43" s="20" t="s">
        <v>44</v>
      </c>
      <c r="E43" s="823">
        <v>31.03</v>
      </c>
      <c r="F43" s="823">
        <v>1.7</v>
      </c>
      <c r="G43" s="823">
        <v>29.85</v>
      </c>
      <c r="H43" s="823">
        <v>1.5</v>
      </c>
      <c r="I43" s="823">
        <v>6640</v>
      </c>
      <c r="J43" s="823">
        <v>7.1</v>
      </c>
      <c r="K43" s="823">
        <v>30.68</v>
      </c>
      <c r="L43" s="823">
        <v>1.5</v>
      </c>
      <c r="M43" s="823">
        <v>30.61</v>
      </c>
      <c r="N43" s="823">
        <v>1.03</v>
      </c>
      <c r="O43" s="823">
        <v>7450</v>
      </c>
      <c r="P43" s="823">
        <v>3.2</v>
      </c>
      <c r="Q43" s="823">
        <v>27.85</v>
      </c>
      <c r="R43" s="823">
        <v>1.4</v>
      </c>
      <c r="S43" s="823">
        <v>28.37</v>
      </c>
      <c r="T43" s="823">
        <v>0.95</v>
      </c>
      <c r="U43" s="823">
        <v>3840</v>
      </c>
      <c r="V43" s="824">
        <v>9.6999999999999993</v>
      </c>
      <c r="Z43" s="127"/>
    </row>
    <row r="44" spans="1:38" x14ac:dyDescent="0.3">
      <c r="A44" s="224" t="s">
        <v>45</v>
      </c>
      <c r="B44" s="5" t="s">
        <v>40</v>
      </c>
      <c r="C44" s="159">
        <v>4</v>
      </c>
      <c r="D44" s="20" t="s">
        <v>44</v>
      </c>
      <c r="E44" s="823">
        <v>30.25</v>
      </c>
      <c r="F44" s="823">
        <v>2.5</v>
      </c>
      <c r="G44" s="823">
        <v>28.59</v>
      </c>
      <c r="H44" s="823">
        <v>1.07</v>
      </c>
      <c r="I44" s="823">
        <v>4360</v>
      </c>
      <c r="J44" s="823">
        <v>6.1</v>
      </c>
      <c r="K44" s="823">
        <v>29.85</v>
      </c>
      <c r="L44" s="823">
        <v>1</v>
      </c>
      <c r="M44" s="823">
        <v>28.79</v>
      </c>
      <c r="N44" s="823">
        <v>0.88</v>
      </c>
      <c r="O44" s="823">
        <v>5820</v>
      </c>
      <c r="P44" s="823">
        <v>3.1</v>
      </c>
      <c r="Q44" s="823">
        <v>26.81</v>
      </c>
      <c r="R44" s="823">
        <v>3.1</v>
      </c>
      <c r="S44" s="823">
        <v>24.87</v>
      </c>
      <c r="T44" s="823">
        <v>1</v>
      </c>
      <c r="U44" s="823">
        <v>3690</v>
      </c>
      <c r="V44" s="824">
        <v>7.3</v>
      </c>
      <c r="Z44" s="127"/>
    </row>
    <row r="45" spans="1:38" x14ac:dyDescent="0.3">
      <c r="A45" s="224" t="s">
        <v>46</v>
      </c>
      <c r="B45" s="5" t="s">
        <v>19</v>
      </c>
      <c r="C45" s="159">
        <v>6</v>
      </c>
      <c r="D45" s="20" t="s">
        <v>20</v>
      </c>
      <c r="E45" s="823">
        <v>30.07</v>
      </c>
      <c r="F45" s="823">
        <v>2.5</v>
      </c>
      <c r="G45" s="823">
        <v>29.11</v>
      </c>
      <c r="H45" s="823">
        <v>1.02</v>
      </c>
      <c r="I45" s="823">
        <v>5760</v>
      </c>
      <c r="J45" s="823">
        <v>8.1999999999999993</v>
      </c>
      <c r="K45" s="823">
        <v>28.18</v>
      </c>
      <c r="L45" s="823">
        <v>1.1000000000000001</v>
      </c>
      <c r="M45" s="823">
        <v>27.47</v>
      </c>
      <c r="N45" s="823">
        <v>1.04</v>
      </c>
      <c r="O45" s="823">
        <v>9620</v>
      </c>
      <c r="P45" s="823">
        <v>3.3</v>
      </c>
      <c r="Q45" s="823">
        <v>25.9</v>
      </c>
      <c r="R45" s="823">
        <v>2.2000000000000002</v>
      </c>
      <c r="S45" s="823">
        <v>24.3</v>
      </c>
      <c r="T45" s="823">
        <v>1.26</v>
      </c>
      <c r="U45" s="823">
        <v>6500</v>
      </c>
      <c r="V45" s="824">
        <v>6.4</v>
      </c>
      <c r="Z45" s="127"/>
    </row>
    <row r="46" spans="1:38" x14ac:dyDescent="0.3">
      <c r="A46" s="224" t="s">
        <v>47</v>
      </c>
      <c r="B46" s="5" t="s">
        <v>19</v>
      </c>
      <c r="C46" s="159">
        <v>7</v>
      </c>
      <c r="D46" s="20" t="s">
        <v>27</v>
      </c>
      <c r="E46" s="823">
        <v>28.94</v>
      </c>
      <c r="F46" s="823">
        <v>0.9</v>
      </c>
      <c r="G46" s="823">
        <v>30.07</v>
      </c>
      <c r="H46" s="823">
        <v>1.35</v>
      </c>
      <c r="I46" s="823">
        <v>7180</v>
      </c>
      <c r="J46" s="823">
        <v>4.5</v>
      </c>
      <c r="K46" s="823">
        <v>27.88</v>
      </c>
      <c r="L46" s="823">
        <v>0.9</v>
      </c>
      <c r="M46" s="823">
        <v>28.49</v>
      </c>
      <c r="N46" s="823">
        <v>1.28</v>
      </c>
      <c r="O46" s="823">
        <v>11100</v>
      </c>
      <c r="P46" s="823">
        <v>2.8</v>
      </c>
      <c r="Q46" s="823">
        <v>26.16</v>
      </c>
      <c r="R46" s="823">
        <v>1.6</v>
      </c>
      <c r="S46" s="823">
        <v>25.8</v>
      </c>
      <c r="T46" s="823">
        <v>1</v>
      </c>
      <c r="U46" s="823">
        <v>4830</v>
      </c>
      <c r="V46" s="824">
        <v>7.1</v>
      </c>
      <c r="Z46" s="127"/>
    </row>
    <row r="47" spans="1:38" x14ac:dyDescent="0.3">
      <c r="A47" s="224" t="s">
        <v>48</v>
      </c>
      <c r="B47" s="5" t="s">
        <v>31</v>
      </c>
      <c r="C47" s="159">
        <v>1</v>
      </c>
      <c r="D47" s="20" t="s">
        <v>32</v>
      </c>
      <c r="E47" s="823">
        <v>28.94</v>
      </c>
      <c r="F47" s="823">
        <v>2.5</v>
      </c>
      <c r="G47" s="823">
        <v>29.61</v>
      </c>
      <c r="H47" s="823">
        <v>1.35</v>
      </c>
      <c r="I47" s="823">
        <v>2410</v>
      </c>
      <c r="J47" s="823">
        <v>6.3</v>
      </c>
      <c r="K47" s="823">
        <v>31.21</v>
      </c>
      <c r="L47" s="823">
        <v>1.7</v>
      </c>
      <c r="M47" s="823">
        <v>29.79</v>
      </c>
      <c r="N47" s="823">
        <v>1.1599999999999999</v>
      </c>
      <c r="O47" s="823">
        <v>3380</v>
      </c>
      <c r="P47" s="823">
        <v>3.4</v>
      </c>
      <c r="Q47" s="823">
        <v>28.39</v>
      </c>
      <c r="R47" s="823">
        <v>1.9</v>
      </c>
      <c r="S47" s="823">
        <v>27.48</v>
      </c>
      <c r="T47" s="823">
        <v>1.28</v>
      </c>
      <c r="U47" s="823">
        <v>2080</v>
      </c>
      <c r="V47" s="824">
        <v>5.7</v>
      </c>
      <c r="Z47" s="127"/>
    </row>
    <row r="48" spans="1:38" x14ac:dyDescent="0.3">
      <c r="A48" s="224" t="s">
        <v>49</v>
      </c>
      <c r="B48" s="5" t="s">
        <v>31</v>
      </c>
      <c r="C48" s="159">
        <v>5</v>
      </c>
      <c r="D48" s="20" t="s">
        <v>34</v>
      </c>
      <c r="E48" s="823">
        <v>31.56</v>
      </c>
      <c r="F48" s="823">
        <v>2.9</v>
      </c>
      <c r="G48" s="823">
        <v>29.82</v>
      </c>
      <c r="H48" s="823">
        <v>1.41</v>
      </c>
      <c r="I48" s="823">
        <v>10880</v>
      </c>
      <c r="J48" s="823">
        <v>10.199999999999999</v>
      </c>
      <c r="K48" s="823">
        <v>33.22</v>
      </c>
      <c r="L48" s="823">
        <v>1.6</v>
      </c>
      <c r="M48" s="823">
        <v>30.3</v>
      </c>
      <c r="N48" s="823">
        <v>1.03</v>
      </c>
      <c r="O48" s="823">
        <v>12930</v>
      </c>
      <c r="P48" s="823">
        <v>5.0999999999999996</v>
      </c>
      <c r="Q48" s="823">
        <v>31.97</v>
      </c>
      <c r="R48" s="823">
        <v>2.2999999999999998</v>
      </c>
      <c r="S48" s="823">
        <v>30.09</v>
      </c>
      <c r="T48" s="823">
        <v>0.96</v>
      </c>
      <c r="U48" s="823">
        <v>6700</v>
      </c>
      <c r="V48" s="824">
        <v>14.5</v>
      </c>
      <c r="Z48" s="127"/>
    </row>
    <row r="49" spans="1:26" x14ac:dyDescent="0.3">
      <c r="A49" s="224" t="s">
        <v>50</v>
      </c>
      <c r="B49" s="5" t="s">
        <v>31</v>
      </c>
      <c r="C49" s="159">
        <v>1</v>
      </c>
      <c r="D49" s="20" t="s">
        <v>32</v>
      </c>
      <c r="E49" s="823">
        <v>42.86</v>
      </c>
      <c r="F49" s="823">
        <v>3.1</v>
      </c>
      <c r="G49" s="823">
        <v>43.93</v>
      </c>
      <c r="H49" s="823">
        <v>1.5</v>
      </c>
      <c r="I49" s="823">
        <v>15710</v>
      </c>
      <c r="J49" s="823">
        <v>6.3</v>
      </c>
      <c r="K49" s="823">
        <v>39.35</v>
      </c>
      <c r="L49" s="823">
        <v>1.9</v>
      </c>
      <c r="M49" s="823">
        <v>39.020000000000003</v>
      </c>
      <c r="N49" s="823">
        <v>1.1200000000000001</v>
      </c>
      <c r="O49" s="823">
        <v>19140</v>
      </c>
      <c r="P49" s="823">
        <v>3.5</v>
      </c>
      <c r="Q49" s="823">
        <v>36.15</v>
      </c>
      <c r="R49" s="823">
        <v>3.7</v>
      </c>
      <c r="S49" s="823">
        <v>35.43</v>
      </c>
      <c r="T49" s="823">
        <v>0.78</v>
      </c>
      <c r="U49" s="823">
        <v>7410</v>
      </c>
      <c r="V49" s="824">
        <v>10.5</v>
      </c>
      <c r="Z49" s="127"/>
    </row>
    <row r="50" spans="1:26" x14ac:dyDescent="0.3">
      <c r="A50" s="224" t="s">
        <v>51</v>
      </c>
      <c r="B50" s="5" t="s">
        <v>40</v>
      </c>
      <c r="C50" s="159">
        <v>3</v>
      </c>
      <c r="D50" s="20" t="s">
        <v>41</v>
      </c>
      <c r="E50" s="823">
        <v>33.44</v>
      </c>
      <c r="F50" s="823">
        <v>1.5</v>
      </c>
      <c r="G50" s="823">
        <v>34.950000000000003</v>
      </c>
      <c r="H50" s="823">
        <v>1.03</v>
      </c>
      <c r="I50" s="823">
        <v>12860</v>
      </c>
      <c r="J50" s="823">
        <v>4.9000000000000004</v>
      </c>
      <c r="K50" s="823">
        <v>31.67</v>
      </c>
      <c r="L50" s="823">
        <v>1.1000000000000001</v>
      </c>
      <c r="M50" s="823">
        <v>30.28</v>
      </c>
      <c r="N50" s="823">
        <v>1.19</v>
      </c>
      <c r="O50" s="823">
        <v>24240</v>
      </c>
      <c r="P50" s="823">
        <v>1.9</v>
      </c>
      <c r="Q50" s="823">
        <v>27.54</v>
      </c>
      <c r="R50" s="823">
        <v>2.1</v>
      </c>
      <c r="S50" s="823">
        <v>24.55</v>
      </c>
      <c r="T50" s="823">
        <v>0.93</v>
      </c>
      <c r="U50" s="823">
        <v>10580</v>
      </c>
      <c r="V50" s="824">
        <v>4.5999999999999996</v>
      </c>
      <c r="Z50" s="127"/>
    </row>
    <row r="51" spans="1:26" x14ac:dyDescent="0.3">
      <c r="A51" s="224" t="s">
        <v>52</v>
      </c>
      <c r="B51" s="5" t="s">
        <v>40</v>
      </c>
      <c r="C51" s="159">
        <v>4</v>
      </c>
      <c r="D51" s="20" t="s">
        <v>44</v>
      </c>
      <c r="E51" s="823">
        <v>38.21</v>
      </c>
      <c r="F51" s="823">
        <v>2.2000000000000002</v>
      </c>
      <c r="G51" s="823">
        <v>38.43</v>
      </c>
      <c r="H51" s="823">
        <v>1.22</v>
      </c>
      <c r="I51" s="823">
        <v>10100</v>
      </c>
      <c r="J51" s="823">
        <v>7.4</v>
      </c>
      <c r="K51" s="823">
        <v>37.880000000000003</v>
      </c>
      <c r="L51" s="823">
        <v>1.5</v>
      </c>
      <c r="M51" s="823">
        <v>37.520000000000003</v>
      </c>
      <c r="N51" s="823">
        <v>0.83</v>
      </c>
      <c r="O51" s="823">
        <v>11280</v>
      </c>
      <c r="P51" s="823">
        <v>5.3</v>
      </c>
      <c r="Q51" s="823">
        <v>32.89</v>
      </c>
      <c r="R51" s="823">
        <v>3.6</v>
      </c>
      <c r="S51" s="823">
        <v>31.64</v>
      </c>
      <c r="T51" s="823">
        <v>0.61</v>
      </c>
      <c r="U51" s="823">
        <v>4600</v>
      </c>
      <c r="V51" s="824">
        <v>10.4</v>
      </c>
      <c r="Z51" s="127"/>
    </row>
    <row r="52" spans="1:26" x14ac:dyDescent="0.3">
      <c r="A52" s="224" t="s">
        <v>53</v>
      </c>
      <c r="B52" s="5" t="s">
        <v>19</v>
      </c>
      <c r="C52" s="159">
        <v>6</v>
      </c>
      <c r="D52" s="20" t="s">
        <v>20</v>
      </c>
      <c r="E52" s="823">
        <v>25.61</v>
      </c>
      <c r="F52" s="823">
        <v>1.8</v>
      </c>
      <c r="G52" s="823">
        <v>25.97</v>
      </c>
      <c r="H52" s="823">
        <v>0.93</v>
      </c>
      <c r="I52" s="823">
        <v>3060</v>
      </c>
      <c r="J52" s="823">
        <v>4.5</v>
      </c>
      <c r="K52" s="823">
        <v>27.39</v>
      </c>
      <c r="L52" s="823">
        <v>1.3</v>
      </c>
      <c r="M52" s="823">
        <v>28.16</v>
      </c>
      <c r="N52" s="823">
        <v>0.93</v>
      </c>
      <c r="O52" s="823">
        <v>5040</v>
      </c>
      <c r="P52" s="823">
        <v>3.2</v>
      </c>
      <c r="Q52" s="823">
        <v>22.8</v>
      </c>
      <c r="R52" s="823">
        <v>1.8</v>
      </c>
      <c r="S52" s="823">
        <v>22.09</v>
      </c>
      <c r="T52" s="823">
        <v>0.96</v>
      </c>
      <c r="U52" s="823">
        <v>2890</v>
      </c>
      <c r="V52" s="824">
        <v>5</v>
      </c>
      <c r="Z52" s="127"/>
    </row>
    <row r="53" spans="1:26" x14ac:dyDescent="0.3">
      <c r="A53" s="224" t="s">
        <v>54</v>
      </c>
      <c r="B53" s="5" t="s">
        <v>40</v>
      </c>
      <c r="C53" s="159">
        <v>4</v>
      </c>
      <c r="D53" s="20" t="s">
        <v>44</v>
      </c>
      <c r="E53" s="823">
        <v>33.520000000000003</v>
      </c>
      <c r="F53" s="823">
        <v>2.4</v>
      </c>
      <c r="G53" s="823">
        <v>30.49</v>
      </c>
      <c r="H53" s="823">
        <v>0.93</v>
      </c>
      <c r="I53" s="823">
        <v>7680</v>
      </c>
      <c r="J53" s="823">
        <v>6.7</v>
      </c>
      <c r="K53" s="823">
        <v>32.619999999999997</v>
      </c>
      <c r="L53" s="823">
        <v>2.2999999999999998</v>
      </c>
      <c r="M53" s="823">
        <v>30.11</v>
      </c>
      <c r="N53" s="823">
        <v>0.92</v>
      </c>
      <c r="O53" s="823">
        <v>12390</v>
      </c>
      <c r="P53" s="823">
        <v>5.4</v>
      </c>
      <c r="Q53" s="823">
        <v>30.06</v>
      </c>
      <c r="R53" s="823">
        <v>3.5</v>
      </c>
      <c r="S53" s="823">
        <v>27.82</v>
      </c>
      <c r="T53" s="823">
        <v>1.17</v>
      </c>
      <c r="U53" s="823">
        <v>8840</v>
      </c>
      <c r="V53" s="824">
        <v>7.1</v>
      </c>
      <c r="Z53" s="127"/>
    </row>
    <row r="54" spans="1:26" x14ac:dyDescent="0.3">
      <c r="A54" s="224" t="s">
        <v>55</v>
      </c>
      <c r="B54" s="5" t="s">
        <v>22</v>
      </c>
      <c r="C54" s="159">
        <v>8</v>
      </c>
      <c r="D54" s="20" t="s">
        <v>25</v>
      </c>
      <c r="E54" s="823">
        <v>35.450000000000003</v>
      </c>
      <c r="F54" s="823">
        <v>2.5</v>
      </c>
      <c r="G54" s="823">
        <v>37.270000000000003</v>
      </c>
      <c r="H54" s="823">
        <v>1.26</v>
      </c>
      <c r="I54" s="823">
        <v>1820</v>
      </c>
      <c r="J54" s="823">
        <v>9.5</v>
      </c>
      <c r="K54" s="823">
        <v>31.22</v>
      </c>
      <c r="L54" s="823">
        <v>1.2</v>
      </c>
      <c r="M54" s="823">
        <v>31.05</v>
      </c>
      <c r="N54" s="823">
        <v>1.23</v>
      </c>
      <c r="O54" s="823">
        <v>2890</v>
      </c>
      <c r="P54" s="823">
        <v>3.4</v>
      </c>
      <c r="Q54" s="823">
        <v>27.38</v>
      </c>
      <c r="R54" s="823">
        <v>3.1</v>
      </c>
      <c r="S54" s="823">
        <v>24.95</v>
      </c>
      <c r="T54" s="823">
        <v>1.02</v>
      </c>
      <c r="U54" s="823">
        <v>1340</v>
      </c>
      <c r="V54" s="824">
        <v>11.4</v>
      </c>
      <c r="Z54" s="127"/>
    </row>
    <row r="55" spans="1:26" x14ac:dyDescent="0.3">
      <c r="A55" s="224" t="s">
        <v>56</v>
      </c>
      <c r="B55" s="5" t="s">
        <v>40</v>
      </c>
      <c r="C55" s="159">
        <v>4</v>
      </c>
      <c r="D55" s="20" t="s">
        <v>44</v>
      </c>
      <c r="E55" s="823">
        <v>30.7</v>
      </c>
      <c r="F55" s="823">
        <v>2.4</v>
      </c>
      <c r="G55" s="823">
        <v>29.24</v>
      </c>
      <c r="H55" s="823">
        <v>1.2</v>
      </c>
      <c r="I55" s="823">
        <v>3460</v>
      </c>
      <c r="J55" s="823">
        <v>8.5</v>
      </c>
      <c r="K55" s="823">
        <v>28.79</v>
      </c>
      <c r="L55" s="823">
        <v>1.3</v>
      </c>
      <c r="M55" s="823">
        <v>28.68</v>
      </c>
      <c r="N55" s="823">
        <v>1.31</v>
      </c>
      <c r="O55" s="823">
        <v>6160</v>
      </c>
      <c r="P55" s="823">
        <v>4.7</v>
      </c>
      <c r="Q55" s="823">
        <v>27.41</v>
      </c>
      <c r="R55" s="823">
        <v>1.8</v>
      </c>
      <c r="S55" s="823">
        <v>26.57</v>
      </c>
      <c r="T55" s="823">
        <v>1.31</v>
      </c>
      <c r="U55" s="823">
        <v>3440</v>
      </c>
      <c r="V55" s="824">
        <v>8.1</v>
      </c>
      <c r="Z55" s="127"/>
    </row>
    <row r="56" spans="1:26" x14ac:dyDescent="0.3">
      <c r="A56" s="224" t="s">
        <v>57</v>
      </c>
      <c r="B56" s="5" t="s">
        <v>22</v>
      </c>
      <c r="C56" s="159">
        <v>8</v>
      </c>
      <c r="D56" s="20" t="s">
        <v>25</v>
      </c>
      <c r="E56" s="823">
        <v>32.409999999999997</v>
      </c>
      <c r="F56" s="823">
        <v>2.2000000000000002</v>
      </c>
      <c r="G56" s="823">
        <v>29.13</v>
      </c>
      <c r="H56" s="823">
        <v>1.21</v>
      </c>
      <c r="I56" s="823">
        <v>5170</v>
      </c>
      <c r="J56" s="823">
        <v>8.1999999999999993</v>
      </c>
      <c r="K56" s="823">
        <v>33</v>
      </c>
      <c r="L56" s="823">
        <v>2.5</v>
      </c>
      <c r="M56" s="823">
        <v>29.07</v>
      </c>
      <c r="N56" s="823">
        <v>1.2</v>
      </c>
      <c r="O56" s="823">
        <v>8370</v>
      </c>
      <c r="P56" s="823">
        <v>6</v>
      </c>
      <c r="Q56" s="823">
        <v>29.14</v>
      </c>
      <c r="R56" s="823">
        <v>3.3</v>
      </c>
      <c r="S56" s="823">
        <v>28.19</v>
      </c>
      <c r="T56" s="823">
        <v>1.18</v>
      </c>
      <c r="U56" s="823">
        <v>4560</v>
      </c>
      <c r="V56" s="824">
        <v>10.3</v>
      </c>
      <c r="Z56" s="127"/>
    </row>
    <row r="57" spans="1:26" x14ac:dyDescent="0.3">
      <c r="A57" s="224" t="s">
        <v>58</v>
      </c>
      <c r="B57" s="5" t="s">
        <v>31</v>
      </c>
      <c r="C57" s="159">
        <v>1</v>
      </c>
      <c r="D57" s="20" t="s">
        <v>32</v>
      </c>
      <c r="E57" s="823">
        <v>29.33</v>
      </c>
      <c r="F57" s="823">
        <v>1.6</v>
      </c>
      <c r="G57" s="823">
        <v>29.64</v>
      </c>
      <c r="H57" s="823">
        <v>1.24</v>
      </c>
      <c r="I57" s="823">
        <v>2410</v>
      </c>
      <c r="J57" s="823">
        <v>6.1</v>
      </c>
      <c r="K57" s="823">
        <v>29.22</v>
      </c>
      <c r="L57" s="823">
        <v>2</v>
      </c>
      <c r="M57" s="823">
        <v>29.46</v>
      </c>
      <c r="N57" s="823">
        <v>1.0900000000000001</v>
      </c>
      <c r="O57" s="823">
        <v>3450</v>
      </c>
      <c r="P57" s="823">
        <v>4.7</v>
      </c>
      <c r="Q57" s="823">
        <v>29.57</v>
      </c>
      <c r="R57" s="823">
        <v>1.4</v>
      </c>
      <c r="S57" s="823">
        <v>29.42</v>
      </c>
      <c r="T57" s="823">
        <v>1.1299999999999999</v>
      </c>
      <c r="U57" s="823">
        <v>1990</v>
      </c>
      <c r="V57" s="824">
        <v>5.8</v>
      </c>
      <c r="Z57" s="127"/>
    </row>
    <row r="58" spans="1:26" x14ac:dyDescent="0.3">
      <c r="A58" s="224" t="s">
        <v>59</v>
      </c>
      <c r="B58" s="5" t="s">
        <v>31</v>
      </c>
      <c r="C58" s="159">
        <v>2</v>
      </c>
      <c r="D58" s="20" t="s">
        <v>60</v>
      </c>
      <c r="E58" s="823">
        <v>46.97</v>
      </c>
      <c r="F58" s="823">
        <v>8.9</v>
      </c>
      <c r="G58" s="823">
        <v>37.72</v>
      </c>
      <c r="H58" s="823">
        <v>0.79</v>
      </c>
      <c r="I58" s="823">
        <v>9560</v>
      </c>
      <c r="J58" s="823">
        <v>9.3000000000000007</v>
      </c>
      <c r="K58" s="823">
        <v>37.76</v>
      </c>
      <c r="L58" s="823">
        <v>2.6</v>
      </c>
      <c r="M58" s="823">
        <v>32.81</v>
      </c>
      <c r="N58" s="823">
        <v>0.73</v>
      </c>
      <c r="O58" s="823">
        <v>14350</v>
      </c>
      <c r="P58" s="823">
        <v>5.6</v>
      </c>
      <c r="Q58" s="823">
        <v>32.200000000000003</v>
      </c>
      <c r="R58" s="823">
        <v>2.5</v>
      </c>
      <c r="S58" s="823">
        <v>29.78</v>
      </c>
      <c r="T58" s="823">
        <v>0.94</v>
      </c>
      <c r="U58" s="823">
        <v>10360</v>
      </c>
      <c r="V58" s="824">
        <v>8.3000000000000007</v>
      </c>
      <c r="Z58" s="127"/>
    </row>
    <row r="59" spans="1:26" x14ac:dyDescent="0.3">
      <c r="A59" s="224" t="s">
        <v>61</v>
      </c>
      <c r="B59" s="5" t="s">
        <v>22</v>
      </c>
      <c r="C59" s="159">
        <v>8</v>
      </c>
      <c r="D59" s="20" t="s">
        <v>25</v>
      </c>
      <c r="E59" s="823">
        <v>26.65</v>
      </c>
      <c r="F59" s="823">
        <v>3.5</v>
      </c>
      <c r="G59" s="823">
        <v>24.48</v>
      </c>
      <c r="H59" s="823">
        <v>1.19</v>
      </c>
      <c r="I59" s="823">
        <v>2890</v>
      </c>
      <c r="J59" s="823">
        <v>7.2</v>
      </c>
      <c r="K59" s="823">
        <v>28.31</v>
      </c>
      <c r="L59" s="823">
        <v>1.4</v>
      </c>
      <c r="M59" s="823">
        <v>26.92</v>
      </c>
      <c r="N59" s="823">
        <v>1.28</v>
      </c>
      <c r="O59" s="823">
        <v>5060</v>
      </c>
      <c r="P59" s="823">
        <v>5</v>
      </c>
      <c r="Q59" s="823">
        <v>23.56</v>
      </c>
      <c r="R59" s="823">
        <v>1.9</v>
      </c>
      <c r="S59" s="823">
        <v>22.24</v>
      </c>
      <c r="T59" s="823">
        <v>0.8</v>
      </c>
      <c r="U59" s="823">
        <v>1770</v>
      </c>
      <c r="V59" s="824">
        <v>9.1999999999999993</v>
      </c>
      <c r="Z59" s="127"/>
    </row>
    <row r="60" spans="1:26" x14ac:dyDescent="0.3">
      <c r="A60" s="224" t="s">
        <v>62</v>
      </c>
      <c r="B60" s="5" t="s">
        <v>31</v>
      </c>
      <c r="C60" s="159">
        <v>2</v>
      </c>
      <c r="D60" s="20" t="s">
        <v>60</v>
      </c>
      <c r="E60" s="823">
        <v>40.81</v>
      </c>
      <c r="F60" s="823">
        <v>2.4</v>
      </c>
      <c r="G60" s="823">
        <v>37.6</v>
      </c>
      <c r="H60" s="823">
        <v>0.91</v>
      </c>
      <c r="I60" s="823">
        <v>24440</v>
      </c>
      <c r="J60" s="823">
        <v>5.6</v>
      </c>
      <c r="K60" s="823">
        <v>40.17</v>
      </c>
      <c r="L60" s="823">
        <v>2.1</v>
      </c>
      <c r="M60" s="823">
        <v>37.229999999999997</v>
      </c>
      <c r="N60" s="823">
        <v>0.92</v>
      </c>
      <c r="O60" s="823">
        <v>40670</v>
      </c>
      <c r="P60" s="823">
        <v>3.6</v>
      </c>
      <c r="Q60" s="823">
        <v>33.15</v>
      </c>
      <c r="R60" s="823">
        <v>6</v>
      </c>
      <c r="S60" s="823">
        <v>30.94</v>
      </c>
      <c r="T60" s="823">
        <v>0.92</v>
      </c>
      <c r="U60" s="823">
        <v>22700</v>
      </c>
      <c r="V60" s="824">
        <v>21.2</v>
      </c>
      <c r="Z60" s="127"/>
    </row>
    <row r="61" spans="1:26" x14ac:dyDescent="0.3">
      <c r="A61" s="224" t="s">
        <v>63</v>
      </c>
      <c r="B61" s="5" t="s">
        <v>19</v>
      </c>
      <c r="C61" s="159">
        <v>5</v>
      </c>
      <c r="D61" s="20" t="s">
        <v>34</v>
      </c>
      <c r="E61" s="823">
        <v>25.55</v>
      </c>
      <c r="F61" s="823">
        <v>1</v>
      </c>
      <c r="G61" s="823">
        <v>24.24</v>
      </c>
      <c r="H61" s="823">
        <v>1.1000000000000001</v>
      </c>
      <c r="I61" s="823">
        <v>15120</v>
      </c>
      <c r="J61" s="823">
        <v>5.3</v>
      </c>
      <c r="K61" s="823">
        <v>25.78</v>
      </c>
      <c r="L61" s="823">
        <v>0.9</v>
      </c>
      <c r="M61" s="823">
        <v>24.49</v>
      </c>
      <c r="N61" s="823">
        <v>0.97</v>
      </c>
      <c r="O61" s="823">
        <v>21900</v>
      </c>
      <c r="P61" s="823">
        <v>2.9</v>
      </c>
      <c r="Q61" s="823">
        <v>25.46</v>
      </c>
      <c r="R61" s="823">
        <v>1.1000000000000001</v>
      </c>
      <c r="S61" s="823">
        <v>24.33</v>
      </c>
      <c r="T61" s="823">
        <v>1.06</v>
      </c>
      <c r="U61" s="823">
        <v>13320</v>
      </c>
      <c r="V61" s="824">
        <v>4.5999999999999996</v>
      </c>
      <c r="Z61" s="127"/>
    </row>
    <row r="62" spans="1:26" x14ac:dyDescent="0.3">
      <c r="A62" s="224" t="s">
        <v>64</v>
      </c>
      <c r="B62" s="5" t="s">
        <v>40</v>
      </c>
      <c r="C62" s="159">
        <v>4</v>
      </c>
      <c r="D62" s="20" t="s">
        <v>44</v>
      </c>
      <c r="E62" s="823">
        <v>31.32</v>
      </c>
      <c r="F62" s="823">
        <v>2.6</v>
      </c>
      <c r="G62" s="823">
        <v>29.94</v>
      </c>
      <c r="H62" s="823">
        <v>1.3</v>
      </c>
      <c r="I62" s="823">
        <v>1560</v>
      </c>
      <c r="J62" s="823">
        <v>7.8</v>
      </c>
      <c r="K62" s="823">
        <v>35.020000000000003</v>
      </c>
      <c r="L62" s="823">
        <v>2.2000000000000002</v>
      </c>
      <c r="M62" s="823">
        <v>36.6</v>
      </c>
      <c r="N62" s="823">
        <v>1.62</v>
      </c>
      <c r="O62" s="823">
        <v>3180</v>
      </c>
      <c r="P62" s="823">
        <v>2.8</v>
      </c>
      <c r="Q62" s="823">
        <v>30.92</v>
      </c>
      <c r="R62" s="823">
        <v>2</v>
      </c>
      <c r="S62" s="823">
        <v>30.3</v>
      </c>
      <c r="T62" s="823">
        <v>0.86</v>
      </c>
      <c r="U62" s="823">
        <v>940</v>
      </c>
      <c r="V62" s="824">
        <v>9.6</v>
      </c>
      <c r="Z62" s="127"/>
    </row>
    <row r="63" spans="1:26" x14ac:dyDescent="0.3">
      <c r="A63" s="224" t="s">
        <v>65</v>
      </c>
      <c r="B63" s="5" t="s">
        <v>40</v>
      </c>
      <c r="C63" s="159">
        <v>3</v>
      </c>
      <c r="D63" s="20" t="s">
        <v>41</v>
      </c>
      <c r="E63" s="823">
        <v>32.51</v>
      </c>
      <c r="F63" s="823">
        <v>2</v>
      </c>
      <c r="G63" s="823">
        <v>31.27</v>
      </c>
      <c r="H63" s="823">
        <v>0.81</v>
      </c>
      <c r="I63" s="823">
        <v>12780</v>
      </c>
      <c r="J63" s="823">
        <v>5.6</v>
      </c>
      <c r="K63" s="823">
        <v>30.94</v>
      </c>
      <c r="L63" s="823">
        <v>1.4</v>
      </c>
      <c r="M63" s="823">
        <v>30.46</v>
      </c>
      <c r="N63" s="823">
        <v>0.95</v>
      </c>
      <c r="O63" s="823">
        <v>24430</v>
      </c>
      <c r="P63" s="823">
        <v>2.8</v>
      </c>
      <c r="Q63" s="823">
        <v>28.07</v>
      </c>
      <c r="R63" s="823">
        <v>1.4</v>
      </c>
      <c r="S63" s="823">
        <v>27.39</v>
      </c>
      <c r="T63" s="823">
        <v>1.01</v>
      </c>
      <c r="U63" s="823">
        <v>14450</v>
      </c>
      <c r="V63" s="824">
        <v>4.9000000000000004</v>
      </c>
      <c r="Z63" s="127"/>
    </row>
    <row r="64" spans="1:26" x14ac:dyDescent="0.3">
      <c r="A64" s="224" t="s">
        <v>66</v>
      </c>
      <c r="B64" s="5" t="s">
        <v>19</v>
      </c>
      <c r="C64" s="159">
        <v>7</v>
      </c>
      <c r="D64" s="20" t="s">
        <v>27</v>
      </c>
      <c r="E64" s="823">
        <v>27.71</v>
      </c>
      <c r="F64" s="823">
        <v>1.5</v>
      </c>
      <c r="G64" s="823">
        <v>26.28</v>
      </c>
      <c r="H64" s="823">
        <v>1.28</v>
      </c>
      <c r="I64" s="823">
        <v>6110</v>
      </c>
      <c r="J64" s="823">
        <v>5.8</v>
      </c>
      <c r="K64" s="823">
        <v>28.72</v>
      </c>
      <c r="L64" s="823">
        <v>1.7</v>
      </c>
      <c r="M64" s="823">
        <v>27.76</v>
      </c>
      <c r="N64" s="823">
        <v>0.92</v>
      </c>
      <c r="O64" s="823">
        <v>7220</v>
      </c>
      <c r="P64" s="823">
        <v>4.4000000000000004</v>
      </c>
      <c r="Q64" s="823">
        <v>24.93</v>
      </c>
      <c r="R64" s="823">
        <v>3.5</v>
      </c>
      <c r="S64" s="823">
        <v>23.45</v>
      </c>
      <c r="T64" s="823">
        <v>1.31</v>
      </c>
      <c r="U64" s="823">
        <v>5680</v>
      </c>
      <c r="V64" s="824">
        <v>6</v>
      </c>
      <c r="Z64" s="127"/>
    </row>
    <row r="65" spans="1:26" x14ac:dyDescent="0.3">
      <c r="A65" s="224" t="s">
        <v>67</v>
      </c>
      <c r="B65" s="5" t="s">
        <v>22</v>
      </c>
      <c r="C65" s="159">
        <v>9</v>
      </c>
      <c r="D65" s="20" t="s">
        <v>23</v>
      </c>
      <c r="E65" s="823">
        <v>41.19</v>
      </c>
      <c r="F65" s="823">
        <v>1.3</v>
      </c>
      <c r="G65" s="823">
        <v>39.83</v>
      </c>
      <c r="H65" s="823">
        <v>0.87</v>
      </c>
      <c r="I65" s="823">
        <v>4830</v>
      </c>
      <c r="J65" s="823">
        <v>6.2</v>
      </c>
      <c r="K65" s="823">
        <v>41.03</v>
      </c>
      <c r="L65" s="823">
        <v>0.8</v>
      </c>
      <c r="M65" s="823">
        <v>42.68</v>
      </c>
      <c r="N65" s="823">
        <v>1.02</v>
      </c>
      <c r="O65" s="823">
        <v>9260</v>
      </c>
      <c r="P65" s="823">
        <v>3.3</v>
      </c>
      <c r="Q65" s="823">
        <v>30.76</v>
      </c>
      <c r="R65" s="823">
        <v>1.7</v>
      </c>
      <c r="S65" s="823">
        <v>29.73</v>
      </c>
      <c r="T65" s="823">
        <v>0.78</v>
      </c>
      <c r="U65" s="823">
        <v>3960</v>
      </c>
      <c r="V65" s="824">
        <v>7.9</v>
      </c>
      <c r="Z65" s="127"/>
    </row>
    <row r="66" spans="1:26" x14ac:dyDescent="0.3">
      <c r="A66" s="224" t="s">
        <v>68</v>
      </c>
      <c r="B66" s="5" t="s">
        <v>31</v>
      </c>
      <c r="C66" s="159">
        <v>2</v>
      </c>
      <c r="D66" s="20" t="s">
        <v>60</v>
      </c>
      <c r="E66" s="823">
        <v>33.5</v>
      </c>
      <c r="F66" s="823">
        <v>1.7</v>
      </c>
      <c r="G66" s="823">
        <v>30.37</v>
      </c>
      <c r="H66" s="823">
        <v>0.79</v>
      </c>
      <c r="I66" s="823">
        <v>13540</v>
      </c>
      <c r="J66" s="823">
        <v>4.8</v>
      </c>
      <c r="K66" s="823">
        <v>35.15</v>
      </c>
      <c r="L66" s="823">
        <v>2.1</v>
      </c>
      <c r="M66" s="823">
        <v>31.59</v>
      </c>
      <c r="N66" s="823">
        <v>0.74</v>
      </c>
      <c r="O66" s="823">
        <v>20770</v>
      </c>
      <c r="P66" s="823">
        <v>3.3</v>
      </c>
      <c r="Q66" s="823">
        <v>28.33</v>
      </c>
      <c r="R66" s="823">
        <v>2</v>
      </c>
      <c r="S66" s="823">
        <v>28</v>
      </c>
      <c r="T66" s="823">
        <v>1.22</v>
      </c>
      <c r="U66" s="823">
        <v>18980</v>
      </c>
      <c r="V66" s="824">
        <v>5</v>
      </c>
      <c r="Z66" s="127"/>
    </row>
    <row r="67" spans="1:26" x14ac:dyDescent="0.3">
      <c r="A67" s="224" t="s">
        <v>69</v>
      </c>
      <c r="B67" s="5" t="s">
        <v>31</v>
      </c>
      <c r="C67" s="159">
        <v>1</v>
      </c>
      <c r="D67" s="20" t="s">
        <v>32</v>
      </c>
      <c r="E67" s="823">
        <v>35.29</v>
      </c>
      <c r="F67" s="823">
        <v>3.2</v>
      </c>
      <c r="G67" s="823">
        <v>36.340000000000003</v>
      </c>
      <c r="H67" s="823">
        <v>1.5</v>
      </c>
      <c r="I67" s="823">
        <v>2100</v>
      </c>
      <c r="J67" s="823">
        <v>9.5</v>
      </c>
      <c r="K67" s="823">
        <v>33.1</v>
      </c>
      <c r="L67" s="823">
        <v>2.9</v>
      </c>
      <c r="M67" s="823">
        <v>31.85</v>
      </c>
      <c r="N67" s="823">
        <v>1.03</v>
      </c>
      <c r="O67" s="823">
        <v>2350</v>
      </c>
      <c r="P67" s="823">
        <v>5.6</v>
      </c>
      <c r="Q67" s="823">
        <v>30.6</v>
      </c>
      <c r="R67" s="823">
        <v>2.2000000000000002</v>
      </c>
      <c r="S67" s="823">
        <v>29.93</v>
      </c>
      <c r="T67" s="823">
        <v>0.92</v>
      </c>
      <c r="U67" s="823">
        <v>1180</v>
      </c>
      <c r="V67" s="824">
        <v>14.5</v>
      </c>
      <c r="Z67" s="127"/>
    </row>
    <row r="68" spans="1:26" x14ac:dyDescent="0.3">
      <c r="A68" s="224" t="s">
        <v>70</v>
      </c>
      <c r="B68" s="5" t="s">
        <v>19</v>
      </c>
      <c r="C68" s="159">
        <v>5</v>
      </c>
      <c r="D68" s="20" t="s">
        <v>34</v>
      </c>
      <c r="E68" s="823">
        <v>25.74</v>
      </c>
      <c r="F68" s="823">
        <v>2</v>
      </c>
      <c r="G68" s="823">
        <v>24.35</v>
      </c>
      <c r="H68" s="823">
        <v>0.63</v>
      </c>
      <c r="I68" s="823">
        <v>4010</v>
      </c>
      <c r="J68" s="823">
        <v>6.5</v>
      </c>
      <c r="K68" s="823">
        <v>26.61</v>
      </c>
      <c r="L68" s="823">
        <v>1.2</v>
      </c>
      <c r="M68" s="823">
        <v>24.98</v>
      </c>
      <c r="N68" s="823">
        <v>0.7</v>
      </c>
      <c r="O68" s="823">
        <v>7320</v>
      </c>
      <c r="P68" s="823">
        <v>3.8</v>
      </c>
      <c r="Q68" s="823">
        <v>25.11</v>
      </c>
      <c r="R68" s="823">
        <v>1.5</v>
      </c>
      <c r="S68" s="823">
        <v>24</v>
      </c>
      <c r="T68" s="823">
        <v>1.0900000000000001</v>
      </c>
      <c r="U68" s="823">
        <v>6360</v>
      </c>
      <c r="V68" s="824">
        <v>3.9</v>
      </c>
      <c r="Z68" s="127"/>
    </row>
    <row r="69" spans="1:26" x14ac:dyDescent="0.3">
      <c r="A69" s="224" t="s">
        <v>71</v>
      </c>
      <c r="B69" s="5" t="s">
        <v>19</v>
      </c>
      <c r="C69" s="159">
        <v>4</v>
      </c>
      <c r="D69" s="20" t="s">
        <v>44</v>
      </c>
      <c r="E69" s="823">
        <v>26.32</v>
      </c>
      <c r="F69" s="823">
        <v>1.8</v>
      </c>
      <c r="G69" s="823">
        <v>25</v>
      </c>
      <c r="H69" s="823">
        <v>1.1100000000000001</v>
      </c>
      <c r="I69" s="823">
        <v>1420</v>
      </c>
      <c r="J69" s="823">
        <v>7.1</v>
      </c>
      <c r="K69" s="823">
        <v>27.3</v>
      </c>
      <c r="L69" s="823">
        <v>1</v>
      </c>
      <c r="M69" s="823">
        <v>27.76</v>
      </c>
      <c r="N69" s="823">
        <v>1.27</v>
      </c>
      <c r="O69" s="823">
        <v>2650</v>
      </c>
      <c r="P69" s="823">
        <v>4.0999999999999996</v>
      </c>
      <c r="Q69" s="823">
        <v>27.72</v>
      </c>
      <c r="R69" s="823">
        <v>2.7</v>
      </c>
      <c r="S69" s="823">
        <v>26.2</v>
      </c>
      <c r="T69" s="823">
        <v>0.96</v>
      </c>
      <c r="U69" s="823">
        <v>1120</v>
      </c>
      <c r="V69" s="824">
        <v>11.7</v>
      </c>
      <c r="Z69" s="127"/>
    </row>
    <row r="70" spans="1:26" x14ac:dyDescent="0.3">
      <c r="A70" s="224" t="s">
        <v>72</v>
      </c>
      <c r="B70" s="5" t="s">
        <v>22</v>
      </c>
      <c r="C70" s="159">
        <v>6</v>
      </c>
      <c r="D70" s="20" t="s">
        <v>20</v>
      </c>
      <c r="E70" s="823">
        <v>26.55</v>
      </c>
      <c r="F70" s="823">
        <v>2.1</v>
      </c>
      <c r="G70" s="823">
        <v>24.48</v>
      </c>
      <c r="H70" s="823">
        <v>0.96</v>
      </c>
      <c r="I70" s="823">
        <v>8920</v>
      </c>
      <c r="J70" s="823">
        <v>6.1</v>
      </c>
      <c r="K70" s="823">
        <v>27.74</v>
      </c>
      <c r="L70" s="823">
        <v>1</v>
      </c>
      <c r="M70" s="823">
        <v>26.62</v>
      </c>
      <c r="N70" s="823">
        <v>1.1399999999999999</v>
      </c>
      <c r="O70" s="823">
        <v>17200</v>
      </c>
      <c r="P70" s="823">
        <v>3.1</v>
      </c>
      <c r="Q70" s="823">
        <v>24.24</v>
      </c>
      <c r="R70" s="823">
        <v>1.2</v>
      </c>
      <c r="S70" s="823">
        <v>23.1</v>
      </c>
      <c r="T70" s="823">
        <v>1.17</v>
      </c>
      <c r="U70" s="823">
        <v>9880</v>
      </c>
      <c r="V70" s="824">
        <v>4.7</v>
      </c>
      <c r="Z70" s="127"/>
    </row>
    <row r="71" spans="1:26" x14ac:dyDescent="0.3">
      <c r="A71" s="224" t="s">
        <v>73</v>
      </c>
      <c r="B71" s="5" t="s">
        <v>31</v>
      </c>
      <c r="C71" s="159">
        <v>7</v>
      </c>
      <c r="D71" s="20" t="s">
        <v>27</v>
      </c>
      <c r="E71" s="823">
        <v>27.35</v>
      </c>
      <c r="F71" s="823">
        <v>0.9</v>
      </c>
      <c r="G71" s="823">
        <v>27.52</v>
      </c>
      <c r="H71" s="823">
        <v>1.08</v>
      </c>
      <c r="I71" s="823">
        <v>41890</v>
      </c>
      <c r="J71" s="823">
        <v>3.4</v>
      </c>
      <c r="K71" s="823">
        <v>27.09</v>
      </c>
      <c r="L71" s="823">
        <v>0.8</v>
      </c>
      <c r="M71" s="823">
        <v>26.87</v>
      </c>
      <c r="N71" s="823">
        <v>1.1100000000000001</v>
      </c>
      <c r="O71" s="823">
        <v>70580</v>
      </c>
      <c r="P71" s="823">
        <v>2.7</v>
      </c>
      <c r="Q71" s="823">
        <v>26.27</v>
      </c>
      <c r="R71" s="823">
        <v>1.4</v>
      </c>
      <c r="S71" s="823">
        <v>24.13</v>
      </c>
      <c r="T71" s="823">
        <v>0.9</v>
      </c>
      <c r="U71" s="823">
        <v>31910</v>
      </c>
      <c r="V71" s="824">
        <v>4.5</v>
      </c>
      <c r="Z71" s="127"/>
    </row>
    <row r="72" spans="1:26" x14ac:dyDescent="0.3">
      <c r="A72" s="224" t="s">
        <v>74</v>
      </c>
      <c r="B72" s="5" t="s">
        <v>19</v>
      </c>
      <c r="C72" s="159">
        <v>8</v>
      </c>
      <c r="D72" s="20" t="s">
        <v>25</v>
      </c>
      <c r="E72" s="823">
        <v>28.62</v>
      </c>
      <c r="F72" s="823">
        <v>1.8</v>
      </c>
      <c r="G72" s="823">
        <v>28.56</v>
      </c>
      <c r="H72" s="823">
        <v>1.2</v>
      </c>
      <c r="I72" s="823">
        <v>5790</v>
      </c>
      <c r="J72" s="823">
        <v>7.4</v>
      </c>
      <c r="K72" s="823">
        <v>28.73</v>
      </c>
      <c r="L72" s="823">
        <v>1.2</v>
      </c>
      <c r="M72" s="823">
        <v>28.79</v>
      </c>
      <c r="N72" s="823">
        <v>1.44</v>
      </c>
      <c r="O72" s="823">
        <v>11350</v>
      </c>
      <c r="P72" s="823">
        <v>5.5</v>
      </c>
      <c r="Q72" s="823">
        <v>27.13</v>
      </c>
      <c r="R72" s="823">
        <v>2.6</v>
      </c>
      <c r="S72" s="823">
        <v>23.97</v>
      </c>
      <c r="T72" s="823">
        <v>1.28</v>
      </c>
      <c r="U72" s="823">
        <v>5620</v>
      </c>
      <c r="V72" s="824">
        <v>8.1</v>
      </c>
      <c r="Z72" s="127"/>
    </row>
    <row r="73" spans="1:26" x14ac:dyDescent="0.3">
      <c r="A73" s="224" t="s">
        <v>75</v>
      </c>
      <c r="B73" s="5" t="s">
        <v>22</v>
      </c>
      <c r="C73" s="159">
        <v>1</v>
      </c>
      <c r="D73" s="20" t="s">
        <v>32</v>
      </c>
      <c r="E73" s="823">
        <v>29.61</v>
      </c>
      <c r="F73" s="823">
        <v>2.1</v>
      </c>
      <c r="G73" s="823">
        <v>28.59</v>
      </c>
      <c r="H73" s="823">
        <v>1.1299999999999999</v>
      </c>
      <c r="I73" s="823">
        <v>980</v>
      </c>
      <c r="J73" s="823">
        <v>10.4</v>
      </c>
      <c r="K73" s="823">
        <v>27.02</v>
      </c>
      <c r="L73" s="823">
        <v>1.1000000000000001</v>
      </c>
      <c r="M73" s="823">
        <v>27.32</v>
      </c>
      <c r="N73" s="823">
        <v>0.88</v>
      </c>
      <c r="O73" s="823">
        <v>1240</v>
      </c>
      <c r="P73" s="823">
        <v>3.5</v>
      </c>
      <c r="Q73" s="823">
        <v>27.14</v>
      </c>
      <c r="R73" s="823">
        <v>1.5</v>
      </c>
      <c r="S73" s="823">
        <v>27.32</v>
      </c>
      <c r="T73" s="823">
        <v>1.47</v>
      </c>
      <c r="U73" s="823">
        <v>1160</v>
      </c>
      <c r="V73" s="824">
        <v>6.2</v>
      </c>
      <c r="Z73" s="127"/>
    </row>
    <row r="74" spans="1:26" x14ac:dyDescent="0.3">
      <c r="A74" s="224" t="s">
        <v>76</v>
      </c>
      <c r="B74" s="5" t="s">
        <v>31</v>
      </c>
      <c r="C74" s="159">
        <v>5</v>
      </c>
      <c r="D74" s="20" t="s">
        <v>34</v>
      </c>
      <c r="E74" s="823">
        <v>27.75</v>
      </c>
      <c r="F74" s="823">
        <v>1.1000000000000001</v>
      </c>
      <c r="G74" s="823">
        <v>27.75</v>
      </c>
      <c r="H74" s="823">
        <v>0.96</v>
      </c>
      <c r="I74" s="823">
        <v>10930</v>
      </c>
      <c r="J74" s="823">
        <v>4.3</v>
      </c>
      <c r="K74" s="823">
        <v>31.12</v>
      </c>
      <c r="L74" s="823">
        <v>1.3</v>
      </c>
      <c r="M74" s="823">
        <v>29</v>
      </c>
      <c r="N74" s="823">
        <v>1.19</v>
      </c>
      <c r="O74" s="823">
        <v>22150</v>
      </c>
      <c r="P74" s="823">
        <v>3.3</v>
      </c>
      <c r="Q74" s="823">
        <v>28.26</v>
      </c>
      <c r="R74" s="823">
        <v>1.3</v>
      </c>
      <c r="S74" s="823">
        <v>27.94</v>
      </c>
      <c r="T74" s="823">
        <v>1.3</v>
      </c>
      <c r="U74" s="823">
        <v>13540</v>
      </c>
      <c r="V74" s="824">
        <v>4</v>
      </c>
      <c r="Z74" s="127"/>
    </row>
    <row r="75" spans="1:26" x14ac:dyDescent="0.3">
      <c r="A75" s="224" t="s">
        <v>77</v>
      </c>
      <c r="B75" s="5" t="s">
        <v>19</v>
      </c>
      <c r="C75" s="159">
        <v>9</v>
      </c>
      <c r="D75" s="20" t="s">
        <v>23</v>
      </c>
      <c r="E75" s="823">
        <v>39.61</v>
      </c>
      <c r="F75" s="823">
        <v>1.9</v>
      </c>
      <c r="G75" s="823">
        <v>36.619999999999997</v>
      </c>
      <c r="H75" s="823">
        <v>1.08</v>
      </c>
      <c r="I75" s="823">
        <v>10860</v>
      </c>
      <c r="J75" s="823">
        <v>5.6</v>
      </c>
      <c r="K75" s="823">
        <v>42.61</v>
      </c>
      <c r="L75" s="823">
        <v>0.9</v>
      </c>
      <c r="M75" s="823">
        <v>39.44</v>
      </c>
      <c r="N75" s="823">
        <v>1.1499999999999999</v>
      </c>
      <c r="O75" s="823">
        <v>18820</v>
      </c>
      <c r="P75" s="823">
        <v>2.6</v>
      </c>
      <c r="Q75" s="823">
        <v>34.78</v>
      </c>
      <c r="R75" s="823">
        <v>2.4</v>
      </c>
      <c r="S75" s="823">
        <v>31.17</v>
      </c>
      <c r="T75" s="823">
        <v>0.89</v>
      </c>
      <c r="U75" s="823">
        <v>8140</v>
      </c>
      <c r="V75" s="824">
        <v>7.2</v>
      </c>
      <c r="Z75" s="127"/>
    </row>
    <row r="76" spans="1:26" x14ac:dyDescent="0.3">
      <c r="A76" s="224" t="s">
        <v>78</v>
      </c>
      <c r="B76" s="5" t="s">
        <v>22</v>
      </c>
      <c r="C76" s="159">
        <v>5</v>
      </c>
      <c r="D76" s="20" t="s">
        <v>34</v>
      </c>
      <c r="E76" s="823">
        <v>26.21</v>
      </c>
      <c r="F76" s="823">
        <v>4.3</v>
      </c>
      <c r="G76" s="823">
        <v>24.17</v>
      </c>
      <c r="H76" s="823">
        <v>0.68</v>
      </c>
      <c r="I76" s="823">
        <v>1350</v>
      </c>
      <c r="J76" s="823">
        <v>11.6</v>
      </c>
      <c r="K76" s="823">
        <v>31.58</v>
      </c>
      <c r="L76" s="823">
        <v>1.8</v>
      </c>
      <c r="M76" s="823">
        <v>30.34</v>
      </c>
      <c r="N76" s="823">
        <v>1.1000000000000001</v>
      </c>
      <c r="O76" s="823">
        <v>3560</v>
      </c>
      <c r="P76" s="823">
        <v>2.6</v>
      </c>
      <c r="Q76" s="823">
        <v>22.51</v>
      </c>
      <c r="R76" s="823">
        <v>1.9</v>
      </c>
      <c r="S76" s="823">
        <v>22.16</v>
      </c>
      <c r="T76" s="823">
        <v>1.08</v>
      </c>
      <c r="U76" s="823">
        <v>1940</v>
      </c>
      <c r="V76" s="824">
        <v>5.8</v>
      </c>
      <c r="Z76" s="127"/>
    </row>
    <row r="77" spans="1:26" x14ac:dyDescent="0.3">
      <c r="A77" s="224" t="s">
        <v>79</v>
      </c>
      <c r="B77" s="5" t="s">
        <v>31</v>
      </c>
      <c r="C77" s="159">
        <v>3</v>
      </c>
      <c r="D77" s="20" t="s">
        <v>41</v>
      </c>
      <c r="E77" s="823">
        <v>37.24</v>
      </c>
      <c r="F77" s="823">
        <v>2.7</v>
      </c>
      <c r="G77" s="823">
        <v>36.86</v>
      </c>
      <c r="H77" s="823">
        <v>0.83</v>
      </c>
      <c r="I77" s="823">
        <v>6860</v>
      </c>
      <c r="J77" s="823">
        <v>5.7</v>
      </c>
      <c r="K77" s="823">
        <v>34.65</v>
      </c>
      <c r="L77" s="823">
        <v>1.1000000000000001</v>
      </c>
      <c r="M77" s="823">
        <v>35.89</v>
      </c>
      <c r="N77" s="823">
        <v>0.86</v>
      </c>
      <c r="O77" s="823">
        <v>11630</v>
      </c>
      <c r="P77" s="823">
        <v>3</v>
      </c>
      <c r="Q77" s="823">
        <v>29.31</v>
      </c>
      <c r="R77" s="823">
        <v>2.1</v>
      </c>
      <c r="S77" s="823">
        <v>28.62</v>
      </c>
      <c r="T77" s="823">
        <v>0.82</v>
      </c>
      <c r="U77" s="823">
        <v>6190</v>
      </c>
      <c r="V77" s="824">
        <v>6.5</v>
      </c>
      <c r="Z77" s="127"/>
    </row>
    <row r="78" spans="1:26" ht="19.5" thickBot="1" x14ac:dyDescent="0.35">
      <c r="A78" s="288" t="s">
        <v>80</v>
      </c>
      <c r="B78" s="225" t="s">
        <v>40</v>
      </c>
      <c r="C78" s="825">
        <v>8</v>
      </c>
      <c r="D78" s="961" t="s">
        <v>25</v>
      </c>
      <c r="E78" s="826">
        <v>28.49</v>
      </c>
      <c r="F78" s="826">
        <v>1.9</v>
      </c>
      <c r="G78" s="826">
        <v>27.44</v>
      </c>
      <c r="H78" s="826">
        <v>1.42</v>
      </c>
      <c r="I78" s="826">
        <v>1120</v>
      </c>
      <c r="J78" s="826">
        <v>7.2</v>
      </c>
      <c r="K78" s="826">
        <v>32.69</v>
      </c>
      <c r="L78" s="826">
        <v>1.1000000000000001</v>
      </c>
      <c r="M78" s="826">
        <v>30.98</v>
      </c>
      <c r="N78" s="826">
        <v>1.85</v>
      </c>
      <c r="O78" s="826">
        <v>2370</v>
      </c>
      <c r="P78" s="826">
        <v>5.3</v>
      </c>
      <c r="Q78" s="826">
        <v>26.1</v>
      </c>
      <c r="R78" s="826">
        <v>3.7</v>
      </c>
      <c r="S78" s="826">
        <v>25.44</v>
      </c>
      <c r="T78" s="826">
        <v>0.91</v>
      </c>
      <c r="U78" s="826">
        <v>650</v>
      </c>
      <c r="V78" s="827">
        <v>15.6</v>
      </c>
      <c r="Z78" s="127"/>
    </row>
    <row r="79" spans="1:26" x14ac:dyDescent="0.3">
      <c r="A79" s="5" t="s">
        <v>1471</v>
      </c>
      <c r="L79" s="173"/>
      <c r="M79" s="173"/>
    </row>
    <row r="80" spans="1:26" x14ac:dyDescent="0.3">
      <c r="A80" s="5" t="s">
        <v>1472</v>
      </c>
    </row>
    <row r="81" spans="1:21" x14ac:dyDescent="0.3">
      <c r="A81" s="30" t="s">
        <v>1632</v>
      </c>
      <c r="F81" s="87"/>
    </row>
    <row r="82" spans="1:21" x14ac:dyDescent="0.3">
      <c r="A82" s="30" t="s">
        <v>1633</v>
      </c>
      <c r="F82" s="87"/>
    </row>
    <row r="83" spans="1:21" ht="23.25" customHeight="1" x14ac:dyDescent="0.3">
      <c r="A83" s="30" t="s">
        <v>1634</v>
      </c>
    </row>
    <row r="84" spans="1:21" ht="27.75" customHeight="1" thickBot="1" x14ac:dyDescent="0.35">
      <c r="D84" s="5" t="s">
        <v>1473</v>
      </c>
    </row>
    <row r="85" spans="1:21" ht="51.6" customHeight="1" x14ac:dyDescent="0.3">
      <c r="D85" s="1319" t="s">
        <v>1474</v>
      </c>
      <c r="E85" s="1320"/>
      <c r="F85" s="1320"/>
      <c r="G85" s="1320"/>
      <c r="H85" s="1320"/>
      <c r="I85" s="1320"/>
      <c r="J85" s="1320"/>
      <c r="K85" s="1320"/>
      <c r="L85" s="1321"/>
      <c r="M85" s="178"/>
      <c r="O85" s="13"/>
      <c r="P85" s="13"/>
      <c r="Q85" s="13"/>
      <c r="R85" s="13"/>
      <c r="S85" s="13"/>
      <c r="T85" s="13"/>
      <c r="U85" s="13"/>
    </row>
    <row r="86" spans="1:21" ht="19.5" customHeight="1" x14ac:dyDescent="0.3">
      <c r="D86" s="1316" t="s">
        <v>519</v>
      </c>
      <c r="E86" s="1308" t="s">
        <v>128</v>
      </c>
      <c r="F86" s="1308" t="s">
        <v>216</v>
      </c>
      <c r="G86" s="1308" t="s">
        <v>217</v>
      </c>
      <c r="H86" s="1308" t="s">
        <v>218</v>
      </c>
      <c r="I86" s="1308" t="s">
        <v>219</v>
      </c>
      <c r="J86" s="1308" t="s">
        <v>220</v>
      </c>
      <c r="K86" s="1308" t="s">
        <v>221</v>
      </c>
      <c r="L86" s="1310" t="s">
        <v>222</v>
      </c>
      <c r="M86" s="111"/>
      <c r="O86" s="111"/>
      <c r="P86" s="111"/>
      <c r="Q86" s="111"/>
      <c r="R86" s="111"/>
      <c r="S86" s="111"/>
      <c r="T86" s="111"/>
      <c r="U86" s="111"/>
    </row>
    <row r="87" spans="1:21" ht="19.5" thickBot="1" x14ac:dyDescent="0.35">
      <c r="D87" s="1317"/>
      <c r="E87" s="1309"/>
      <c r="F87" s="1309"/>
      <c r="G87" s="1309"/>
      <c r="H87" s="1309"/>
      <c r="I87" s="1309"/>
      <c r="J87" s="1309"/>
      <c r="K87" s="1309"/>
      <c r="L87" s="1311"/>
      <c r="M87" s="111"/>
      <c r="O87" s="111"/>
      <c r="P87" s="111"/>
      <c r="Q87" s="111"/>
      <c r="R87" s="111"/>
      <c r="S87" s="111"/>
      <c r="T87" s="111"/>
      <c r="U87" s="111"/>
    </row>
    <row r="88" spans="1:21" ht="19.5" thickBot="1" x14ac:dyDescent="0.35">
      <c r="D88" s="1318"/>
      <c r="E88" s="176" t="s">
        <v>333</v>
      </c>
      <c r="F88" s="176" t="s">
        <v>333</v>
      </c>
      <c r="G88" s="176" t="s">
        <v>333</v>
      </c>
      <c r="H88" s="176" t="s">
        <v>333</v>
      </c>
      <c r="I88" s="176" t="s">
        <v>333</v>
      </c>
      <c r="J88" s="176" t="s">
        <v>333</v>
      </c>
      <c r="K88" s="176" t="s">
        <v>333</v>
      </c>
      <c r="L88" s="177" t="s">
        <v>333</v>
      </c>
      <c r="M88" s="111"/>
      <c r="O88" s="111"/>
      <c r="P88" s="111"/>
      <c r="Q88" s="111"/>
      <c r="R88" s="111"/>
      <c r="S88" s="111"/>
      <c r="T88" s="111"/>
      <c r="U88" s="111"/>
    </row>
    <row r="89" spans="1:21" ht="19.5" thickBot="1" x14ac:dyDescent="0.35">
      <c r="D89" s="877" t="s">
        <v>32</v>
      </c>
      <c r="E89" s="878">
        <v>100</v>
      </c>
      <c r="F89" s="878">
        <v>69.3</v>
      </c>
      <c r="G89" s="879">
        <v>0.307</v>
      </c>
      <c r="H89" s="878">
        <v>7.8</v>
      </c>
      <c r="I89" s="878">
        <v>4.3</v>
      </c>
      <c r="J89" s="878">
        <v>7.7</v>
      </c>
      <c r="K89" s="878">
        <v>3.5</v>
      </c>
      <c r="L89" s="880">
        <v>7.4</v>
      </c>
      <c r="M89" s="111"/>
      <c r="O89" s="111"/>
      <c r="P89" s="111"/>
      <c r="Q89" s="111"/>
      <c r="R89" s="111"/>
      <c r="S89" s="111"/>
      <c r="T89" s="111"/>
      <c r="U89" s="111"/>
    </row>
    <row r="90" spans="1:21" ht="19.5" thickBot="1" x14ac:dyDescent="0.35">
      <c r="D90" s="881" t="s">
        <v>60</v>
      </c>
      <c r="E90" s="882">
        <v>100</v>
      </c>
      <c r="F90" s="882">
        <v>69</v>
      </c>
      <c r="G90" s="883">
        <v>0.31</v>
      </c>
      <c r="H90" s="882">
        <v>7.8</v>
      </c>
      <c r="I90" s="882">
        <v>3.5</v>
      </c>
      <c r="J90" s="882">
        <v>8.1</v>
      </c>
      <c r="K90" s="882">
        <v>3.9</v>
      </c>
      <c r="L90" s="884">
        <v>7.7</v>
      </c>
      <c r="M90" s="111"/>
      <c r="O90" s="111"/>
      <c r="P90" s="111"/>
      <c r="Q90" s="111"/>
      <c r="R90" s="111"/>
      <c r="S90" s="111"/>
      <c r="T90" s="111"/>
      <c r="U90" s="111"/>
    </row>
    <row r="91" spans="1:21" ht="19.5" thickBot="1" x14ac:dyDescent="0.35">
      <c r="D91" s="881" t="s">
        <v>34</v>
      </c>
      <c r="E91" s="882">
        <v>100</v>
      </c>
      <c r="F91" s="882">
        <v>72.3</v>
      </c>
      <c r="G91" s="883">
        <v>0.27699999999999997</v>
      </c>
      <c r="H91" s="882">
        <v>7.5</v>
      </c>
      <c r="I91" s="882">
        <v>3</v>
      </c>
      <c r="J91" s="882">
        <v>6.7</v>
      </c>
      <c r="K91" s="882">
        <v>3.1</v>
      </c>
      <c r="L91" s="884">
        <v>7.4</v>
      </c>
      <c r="M91" s="111"/>
      <c r="O91" s="111"/>
      <c r="P91" s="111"/>
      <c r="Q91" s="111"/>
      <c r="R91" s="111"/>
      <c r="S91" s="111"/>
      <c r="T91" s="111"/>
      <c r="U91" s="111"/>
    </row>
    <row r="92" spans="1:21" ht="19.5" thickBot="1" x14ac:dyDescent="0.35">
      <c r="D92" s="877" t="s">
        <v>20</v>
      </c>
      <c r="E92" s="878">
        <v>100</v>
      </c>
      <c r="F92" s="878">
        <v>72.099999999999994</v>
      </c>
      <c r="G92" s="879">
        <v>0.27899999999999997</v>
      </c>
      <c r="H92" s="878">
        <v>7</v>
      </c>
      <c r="I92" s="878">
        <v>3.4</v>
      </c>
      <c r="J92" s="878">
        <v>7.3</v>
      </c>
      <c r="K92" s="878">
        <v>2.8</v>
      </c>
      <c r="L92" s="880">
        <v>7.3</v>
      </c>
      <c r="M92" s="111"/>
      <c r="O92" s="111"/>
      <c r="P92" s="111"/>
      <c r="Q92" s="111"/>
      <c r="R92" s="111"/>
      <c r="S92" s="111"/>
      <c r="T92" s="111"/>
      <c r="U92" s="111"/>
    </row>
    <row r="93" spans="1:21" ht="19.5" thickBot="1" x14ac:dyDescent="0.35">
      <c r="D93" s="881" t="s">
        <v>27</v>
      </c>
      <c r="E93" s="882">
        <v>100</v>
      </c>
      <c r="F93" s="882">
        <v>72.900000000000006</v>
      </c>
      <c r="G93" s="883">
        <v>0.27100000000000002</v>
      </c>
      <c r="H93" s="882">
        <v>7</v>
      </c>
      <c r="I93" s="882">
        <v>3.9</v>
      </c>
      <c r="J93" s="882">
        <v>6.3</v>
      </c>
      <c r="K93" s="882">
        <v>2.8</v>
      </c>
      <c r="L93" s="884">
        <v>7.2</v>
      </c>
    </row>
    <row r="94" spans="1:21" ht="19.5" thickBot="1" x14ac:dyDescent="0.35">
      <c r="D94" s="881" t="s">
        <v>41</v>
      </c>
      <c r="E94" s="882">
        <v>100</v>
      </c>
      <c r="F94" s="882">
        <v>69.099999999999994</v>
      </c>
      <c r="G94" s="883">
        <v>0.309</v>
      </c>
      <c r="H94" s="882">
        <v>7.2</v>
      </c>
      <c r="I94" s="882">
        <v>4.0999999999999996</v>
      </c>
      <c r="J94" s="882">
        <v>8.3000000000000007</v>
      </c>
      <c r="K94" s="882">
        <v>4.0999999999999996</v>
      </c>
      <c r="L94" s="884">
        <v>7.3</v>
      </c>
    </row>
    <row r="95" spans="1:21" ht="19.5" thickBot="1" x14ac:dyDescent="0.35">
      <c r="D95" s="877" t="s">
        <v>44</v>
      </c>
      <c r="E95" s="878">
        <v>100</v>
      </c>
      <c r="F95" s="878">
        <v>68.8</v>
      </c>
      <c r="G95" s="879">
        <v>0.312</v>
      </c>
      <c r="H95" s="878">
        <v>7.2</v>
      </c>
      <c r="I95" s="878">
        <v>4.0999999999999996</v>
      </c>
      <c r="J95" s="878">
        <v>9.1999999999999993</v>
      </c>
      <c r="K95" s="878">
        <v>3.2</v>
      </c>
      <c r="L95" s="880">
        <v>7.5</v>
      </c>
    </row>
    <row r="96" spans="1:21" ht="19.5" thickBot="1" x14ac:dyDescent="0.35">
      <c r="D96" s="877" t="s">
        <v>25</v>
      </c>
      <c r="E96" s="878">
        <v>100</v>
      </c>
      <c r="F96" s="878">
        <v>70.900000000000006</v>
      </c>
      <c r="G96" s="879">
        <v>0.29100000000000004</v>
      </c>
      <c r="H96" s="878">
        <v>6.9</v>
      </c>
      <c r="I96" s="878">
        <v>3.4</v>
      </c>
      <c r="J96" s="878">
        <v>7.9</v>
      </c>
      <c r="K96" s="878">
        <v>3.2</v>
      </c>
      <c r="L96" s="880">
        <v>7.6</v>
      </c>
    </row>
    <row r="97" spans="4:12" ht="19.5" thickBot="1" x14ac:dyDescent="0.35">
      <c r="D97" s="885" t="s">
        <v>23</v>
      </c>
      <c r="E97" s="886">
        <v>100</v>
      </c>
      <c r="F97" s="886">
        <v>70.7</v>
      </c>
      <c r="G97" s="887">
        <v>0.29299999999999998</v>
      </c>
      <c r="H97" s="886">
        <v>7.8</v>
      </c>
      <c r="I97" s="886">
        <v>3.1</v>
      </c>
      <c r="J97" s="886">
        <v>7.3</v>
      </c>
      <c r="K97" s="886">
        <v>3.3</v>
      </c>
      <c r="L97" s="888">
        <v>7.9</v>
      </c>
    </row>
    <row r="98" spans="4:12" x14ac:dyDescent="0.3">
      <c r="D98" s="30" t="s">
        <v>1635</v>
      </c>
    </row>
  </sheetData>
  <autoFilter ref="A27:V27" xr:uid="{305C7057-45C2-402F-9441-63404A075AB7}">
    <sortState xmlns:xlrd2="http://schemas.microsoft.com/office/spreadsheetml/2017/richdata2" ref="A28:V78">
      <sortCondition ref="A27"/>
    </sortState>
  </autoFilter>
  <mergeCells count="23">
    <mergeCell ref="U1:U3"/>
    <mergeCell ref="D85:L85"/>
    <mergeCell ref="N8:Q8"/>
    <mergeCell ref="A7:D7"/>
    <mergeCell ref="E7:G10"/>
    <mergeCell ref="Q26:V26"/>
    <mergeCell ref="A1:B3"/>
    <mergeCell ref="A5:D6"/>
    <mergeCell ref="S7:V7"/>
    <mergeCell ref="I86:I87"/>
    <mergeCell ref="J86:J87"/>
    <mergeCell ref="K86:K87"/>
    <mergeCell ref="L86:L87"/>
    <mergeCell ref="H7:L7"/>
    <mergeCell ref="E26:J26"/>
    <mergeCell ref="K26:P26"/>
    <mergeCell ref="E15:G21"/>
    <mergeCell ref="A25:V25"/>
    <mergeCell ref="D86:D88"/>
    <mergeCell ref="E86:E87"/>
    <mergeCell ref="F86:F87"/>
    <mergeCell ref="G86:G87"/>
    <mergeCell ref="H86:H87"/>
  </mergeCells>
  <hyperlinks>
    <hyperlink ref="N13" r:id="rId1" xr:uid="{49E12DA7-45EC-4F16-8C0A-0097325645B4}"/>
    <hyperlink ref="N14" r:id="rId2" xr:uid="{3BF85E34-822B-4190-B04F-CF3E892789BA}"/>
    <hyperlink ref="M19" r:id="rId3" location=":~:text=In%202022%2C%20BLS%20derived%20totals,by%20UI%20or%20by%20UCFE." xr:uid="{5A67CC5F-7824-48C6-8688-E53B20214466}"/>
    <hyperlink ref="M18" r:id="rId4" location="wages" xr:uid="{56AFFCA4-6A6A-4FC4-BDDF-0F410390E4A2}"/>
    <hyperlink ref="M20" r:id="rId5" location="00-0000" xr:uid="{0FFF0DE3-771A-413D-A711-BCDF6834B786}"/>
    <hyperlink ref="H19" location="'19 General Wages'!N8" display="National Wage Index" xr:uid="{6E503510-FFF7-472E-A4B4-7E7D40223B42}"/>
    <hyperlink ref="Q7" location="'19 General Wages'!D97" display="Benefit Table" xr:uid="{DA6479D6-DCAB-4676-810F-EA92AB506EDF}"/>
    <hyperlink ref="L8" location="'20 General Wages'!D99" display="Total benefits Percent of wage" xr:uid="{AF016275-81F6-4BF9-B6A0-FE5EF93908F4}"/>
    <hyperlink ref="A81" r:id="rId6" location="tab-7" display="https://www.bls.gov/ooh/construction-and-extraction/electricians.htm - tab-7" xr:uid="{89DC4717-7AA6-4E49-A31D-4D4676496084}"/>
    <hyperlink ref="A82" r:id="rId7" location="tab-7" display="https://www.bls.gov/ooh/installation-maintenance-and-repair/heating-air-conditioning-and-refrigeration-mechanics-and-installers.htm - tab-7" xr:uid="{D8F2CC76-253F-4F7C-86FC-68A3ACEA9F69}"/>
    <hyperlink ref="A83" r:id="rId8" location="tab-7" display="https://www.bls.gov/ooh/construction-and-extraction/plumbers-pipefitters-and-steamfitters.htm - tab-7" xr:uid="{8795F714-4A19-4C1C-8E9F-C5DC58B44DAF}"/>
    <hyperlink ref="D98" r:id="rId9" xr:uid="{960C8002-E38B-4EC6-BC89-B4E92030C42A}"/>
  </hyperlinks>
  <pageMargins left="0.7" right="0.7" top="0.75" bottom="0.75" header="0.3" footer="0.3"/>
  <pageSetup orientation="portrait" r:id="rId10"/>
  <drawing r:id="rId1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549B-0356-49DF-833D-BA4D3D935B19}">
  <sheetPr codeName="Sheet4">
    <tabColor theme="9" tint="0.79998168889431442"/>
  </sheetPr>
  <dimension ref="A1:W61"/>
  <sheetViews>
    <sheetView zoomScale="63" zoomScaleNormal="63" workbookViewId="0">
      <selection sqref="A1:C2"/>
    </sheetView>
  </sheetViews>
  <sheetFormatPr defaultColWidth="8.85546875" defaultRowHeight="18.75" x14ac:dyDescent="0.3"/>
  <cols>
    <col min="1" max="1" width="23.7109375" style="87" customWidth="1"/>
    <col min="2" max="2" width="12" style="87" customWidth="1"/>
    <col min="3" max="3" width="15.42578125" style="108" customWidth="1"/>
    <col min="4" max="4" width="21.28515625" style="87" bestFit="1" customWidth="1"/>
    <col min="5" max="5" width="26.140625" style="87" customWidth="1"/>
    <col min="6" max="6" width="25.28515625" style="87" customWidth="1"/>
    <col min="7" max="7" width="23.28515625" style="87" customWidth="1"/>
    <col min="8" max="8" width="19.28515625" style="87" customWidth="1"/>
    <col min="9" max="9" width="17.85546875" style="87" customWidth="1"/>
    <col min="10" max="10" width="12.5703125" style="87" customWidth="1"/>
    <col min="11" max="13" width="8.85546875" style="87"/>
    <col min="14" max="14" width="13.42578125" style="87" bestFit="1" customWidth="1"/>
    <col min="15" max="15" width="28" style="87" customWidth="1"/>
    <col min="16" max="16" width="32.85546875" style="87" customWidth="1"/>
    <col min="17" max="17" width="45.85546875" style="87" customWidth="1"/>
    <col min="18" max="18" width="12.42578125" style="87" customWidth="1"/>
    <col min="19" max="19" width="22" style="87" bestFit="1" customWidth="1"/>
    <col min="20" max="20" width="32.28515625" style="87" customWidth="1"/>
    <col min="21" max="21" width="21.28515625" style="87" bestFit="1" customWidth="1"/>
    <col min="22" max="22" width="16.85546875" style="87" customWidth="1"/>
    <col min="23" max="23" width="16.5703125" style="87" customWidth="1"/>
    <col min="24" max="16384" width="8.85546875" style="87"/>
  </cols>
  <sheetData>
    <row r="1" spans="1:23" ht="18.75" customHeight="1" x14ac:dyDescent="0.3">
      <c r="A1" s="1203" t="s">
        <v>223</v>
      </c>
      <c r="B1" s="1203"/>
      <c r="C1" s="1203"/>
      <c r="D1" s="87" t="s">
        <v>1565</v>
      </c>
      <c r="V1" s="1172" t="s">
        <v>516</v>
      </c>
      <c r="W1" s="57"/>
    </row>
    <row r="2" spans="1:23" ht="18.75" customHeight="1" x14ac:dyDescent="0.3">
      <c r="A2" s="1203"/>
      <c r="B2" s="1203"/>
      <c r="C2" s="1203"/>
      <c r="V2" s="1173"/>
      <c r="W2" s="57"/>
    </row>
    <row r="3" spans="1:23" ht="75.75" customHeight="1" x14ac:dyDescent="0.3">
      <c r="A3" s="1260" t="s">
        <v>1475</v>
      </c>
      <c r="B3" s="1260"/>
      <c r="C3" s="1260"/>
      <c r="D3" s="1260"/>
      <c r="E3" s="1260"/>
      <c r="O3" s="1260" t="s">
        <v>1476</v>
      </c>
      <c r="P3" s="1260"/>
      <c r="S3" s="1260" t="s">
        <v>1477</v>
      </c>
      <c r="T3" s="1260"/>
      <c r="V3" s="1174"/>
      <c r="W3" s="57"/>
    </row>
    <row r="4" spans="1:23" ht="17.25" customHeight="1" x14ac:dyDescent="0.3">
      <c r="O4" s="1260"/>
      <c r="P4" s="1260"/>
      <c r="S4" s="1260"/>
      <c r="T4" s="1260"/>
    </row>
    <row r="5" spans="1:23" ht="26.25" customHeight="1" x14ac:dyDescent="0.3">
      <c r="A5" s="1336" t="s">
        <v>355</v>
      </c>
      <c r="B5" s="1337"/>
      <c r="C5" s="1337"/>
      <c r="D5" s="1337"/>
      <c r="E5" s="1337"/>
      <c r="F5" s="1337"/>
      <c r="G5" s="1337"/>
      <c r="H5" s="1337"/>
      <c r="I5" s="1337"/>
      <c r="J5" s="1338"/>
      <c r="K5" s="216"/>
      <c r="L5" s="216"/>
    </row>
    <row r="6" spans="1:23" ht="56.25" x14ac:dyDescent="0.3">
      <c r="A6" s="209" t="s">
        <v>15</v>
      </c>
      <c r="B6" s="209" t="s">
        <v>81</v>
      </c>
      <c r="C6" s="210" t="s">
        <v>16</v>
      </c>
      <c r="D6" s="210" t="s">
        <v>17</v>
      </c>
      <c r="E6" s="214" t="s">
        <v>131</v>
      </c>
      <c r="F6" s="214" t="s">
        <v>147</v>
      </c>
      <c r="G6" s="209" t="s">
        <v>132</v>
      </c>
      <c r="H6" s="200" t="s">
        <v>453</v>
      </c>
      <c r="I6" s="214" t="s">
        <v>148</v>
      </c>
      <c r="J6" s="200" t="s">
        <v>130</v>
      </c>
      <c r="M6" s="112"/>
      <c r="N6" s="113"/>
      <c r="O6" s="1331" t="s">
        <v>1122</v>
      </c>
      <c r="P6" s="1332"/>
      <c r="S6" s="1331" t="s">
        <v>1123</v>
      </c>
      <c r="T6" s="1332"/>
    </row>
    <row r="7" spans="1:23" x14ac:dyDescent="0.3">
      <c r="A7" s="28" t="s">
        <v>18</v>
      </c>
      <c r="B7" s="5" t="s">
        <v>19</v>
      </c>
      <c r="C7" s="159">
        <v>6</v>
      </c>
      <c r="D7" s="20" t="s">
        <v>20</v>
      </c>
      <c r="E7" s="158">
        <v>22.27</v>
      </c>
      <c r="F7" s="158">
        <v>18</v>
      </c>
      <c r="G7" s="158">
        <v>21.97</v>
      </c>
      <c r="H7" s="158">
        <v>5</v>
      </c>
      <c r="I7" s="158">
        <v>560</v>
      </c>
      <c r="J7" s="836">
        <v>1.26</v>
      </c>
      <c r="N7" s="113"/>
      <c r="O7" s="220" t="s">
        <v>519</v>
      </c>
      <c r="P7" s="221" t="s">
        <v>561</v>
      </c>
      <c r="S7" s="515" t="s">
        <v>519</v>
      </c>
      <c r="T7" s="221" t="s">
        <v>562</v>
      </c>
    </row>
    <row r="8" spans="1:23" x14ac:dyDescent="0.3">
      <c r="A8" s="28" t="s">
        <v>21</v>
      </c>
      <c r="B8" s="5" t="s">
        <v>22</v>
      </c>
      <c r="C8" s="159">
        <v>9</v>
      </c>
      <c r="D8" s="20" t="s">
        <v>23</v>
      </c>
      <c r="E8" s="158">
        <v>41.26</v>
      </c>
      <c r="F8" s="158">
        <v>8.1999999999999993</v>
      </c>
      <c r="G8" s="158">
        <v>39.97</v>
      </c>
      <c r="H8" s="158">
        <v>2.4</v>
      </c>
      <c r="I8" s="158">
        <v>120</v>
      </c>
      <c r="J8" s="836">
        <v>1.85</v>
      </c>
      <c r="O8" s="962" t="s">
        <v>32</v>
      </c>
      <c r="P8" s="845">
        <f>(1+$P$24)*T8</f>
        <v>26.68525127745405</v>
      </c>
      <c r="S8" s="962" t="s">
        <v>32</v>
      </c>
      <c r="T8" s="845" cm="1">
        <f t="array" ref="T8">SUMPRODUCT(($D$7:$D$57=S8) * $E$7:$E$57, $I$7:$I$57) / SUMIF($D$7:$D$57, S8, $I$7:$I$57)</f>
        <v>26.61422680412371</v>
      </c>
    </row>
    <row r="9" spans="1:23" x14ac:dyDescent="0.3">
      <c r="A9" s="28" t="s">
        <v>24</v>
      </c>
      <c r="B9" s="5" t="s">
        <v>22</v>
      </c>
      <c r="C9" s="159">
        <v>8</v>
      </c>
      <c r="D9" s="20" t="s">
        <v>25</v>
      </c>
      <c r="E9" s="158">
        <v>27.01</v>
      </c>
      <c r="F9" s="158">
        <v>29.6</v>
      </c>
      <c r="G9" s="158">
        <v>25.41</v>
      </c>
      <c r="H9" s="158">
        <v>6.5</v>
      </c>
      <c r="I9" s="158">
        <v>480</v>
      </c>
      <c r="J9" s="836">
        <v>0.71</v>
      </c>
      <c r="O9" s="962" t="s">
        <v>60</v>
      </c>
      <c r="P9" s="845">
        <f t="shared" ref="P9:P16" si="0">(1+$P$24)*T9</f>
        <v>28.223759309145418</v>
      </c>
      <c r="S9" s="962" t="s">
        <v>60</v>
      </c>
      <c r="T9" s="845" cm="1">
        <f t="array" ref="T9">SUMPRODUCT(($D$7:$D$57=S9) * $E$7:$E$57, $I$7:$I$57) / SUMIF($D$7:$D$57, S9, $I$7:$I$57)</f>
        <v>28.148639999999997</v>
      </c>
    </row>
    <row r="10" spans="1:23" x14ac:dyDescent="0.3">
      <c r="A10" s="28" t="s">
        <v>26</v>
      </c>
      <c r="B10" s="5" t="s">
        <v>19</v>
      </c>
      <c r="C10" s="159">
        <v>7</v>
      </c>
      <c r="D10" s="20" t="s">
        <v>27</v>
      </c>
      <c r="E10" s="158">
        <v>19.3</v>
      </c>
      <c r="F10" s="158">
        <v>13.7</v>
      </c>
      <c r="G10" s="158">
        <v>19.989999999999998</v>
      </c>
      <c r="H10" s="158">
        <v>2.2999999999999998</v>
      </c>
      <c r="I10" s="158">
        <v>250</v>
      </c>
      <c r="J10" s="836">
        <v>0.93</v>
      </c>
      <c r="O10" s="962" t="s">
        <v>41</v>
      </c>
      <c r="P10" s="845">
        <f t="shared" si="0"/>
        <v>26.85146686656671</v>
      </c>
      <c r="S10" s="962" t="s">
        <v>41</v>
      </c>
      <c r="T10" s="845" cm="1">
        <f t="array" ref="T10">SUMPRODUCT(($D$7:$D$57=S10) * $E$7:$E$57, $I$7:$I$57) / SUMIF($D$7:$D$57, S10, $I$7:$I$57)</f>
        <v>26.78</v>
      </c>
    </row>
    <row r="11" spans="1:23" x14ac:dyDescent="0.3">
      <c r="A11" s="28" t="s">
        <v>28</v>
      </c>
      <c r="B11" s="5" t="s">
        <v>22</v>
      </c>
      <c r="C11" s="159">
        <v>9</v>
      </c>
      <c r="D11" s="20" t="s">
        <v>23</v>
      </c>
      <c r="E11" s="158">
        <v>31.03</v>
      </c>
      <c r="F11" s="158">
        <v>13.1</v>
      </c>
      <c r="G11" s="158">
        <v>37</v>
      </c>
      <c r="H11" s="158">
        <v>5.2</v>
      </c>
      <c r="I11" s="158">
        <v>670</v>
      </c>
      <c r="J11" s="836">
        <v>0.17</v>
      </c>
      <c r="O11" s="962" t="s">
        <v>44</v>
      </c>
      <c r="P11" s="845">
        <f t="shared" si="0"/>
        <v>28.380206756490168</v>
      </c>
      <c r="S11" s="962" t="s">
        <v>44</v>
      </c>
      <c r="T11" s="845" cm="1">
        <f t="array" ref="T11">SUMPRODUCT(($D$7:$D$57=S11) * $E$7:$E$57, $I$7:$I$57) / SUMIF($D$7:$D$57, S11, $I$7:$I$57)</f>
        <v>28.304671052631576</v>
      </c>
    </row>
    <row r="12" spans="1:23" x14ac:dyDescent="0.3">
      <c r="A12" s="28" t="s">
        <v>29</v>
      </c>
      <c r="B12" s="5" t="s">
        <v>22</v>
      </c>
      <c r="C12" s="159">
        <v>8</v>
      </c>
      <c r="D12" s="20" t="s">
        <v>25</v>
      </c>
      <c r="E12" s="158">
        <v>29.97</v>
      </c>
      <c r="F12" s="158">
        <v>10.6</v>
      </c>
      <c r="G12" s="158">
        <v>31.19</v>
      </c>
      <c r="H12" s="158">
        <v>3.1</v>
      </c>
      <c r="I12" s="158">
        <v>660</v>
      </c>
      <c r="J12" s="836">
        <v>1.08</v>
      </c>
      <c r="O12" s="962" t="s">
        <v>34</v>
      </c>
      <c r="P12" s="845">
        <f t="shared" si="0"/>
        <v>24.355824557721135</v>
      </c>
      <c r="S12" s="962" t="s">
        <v>34</v>
      </c>
      <c r="T12" s="845" cm="1">
        <f t="array" ref="T12">SUMPRODUCT(($D$7:$D$57=S12) * $E$7:$E$57, $I$7:$I$57) / SUMIF($D$7:$D$57, S12, $I$7:$I$57)</f>
        <v>24.291</v>
      </c>
    </row>
    <row r="13" spans="1:23" x14ac:dyDescent="0.3">
      <c r="A13" s="28" t="s">
        <v>30</v>
      </c>
      <c r="B13" s="5" t="s">
        <v>31</v>
      </c>
      <c r="C13" s="159">
        <v>1</v>
      </c>
      <c r="D13" s="20" t="s">
        <v>32</v>
      </c>
      <c r="E13" s="158">
        <v>31.48</v>
      </c>
      <c r="F13" s="158">
        <v>21.1</v>
      </c>
      <c r="G13" s="158">
        <v>34.9</v>
      </c>
      <c r="H13" s="158">
        <v>7</v>
      </c>
      <c r="I13" s="158">
        <v>120</v>
      </c>
      <c r="J13" s="836">
        <v>0.33</v>
      </c>
      <c r="O13" s="962" t="s">
        <v>20</v>
      </c>
      <c r="P13" s="845">
        <f t="shared" si="0"/>
        <v>22.0282995148652</v>
      </c>
      <c r="S13" s="962" t="s">
        <v>20</v>
      </c>
      <c r="T13" s="845" cm="1">
        <f t="array" ref="T13">SUMPRODUCT(($D$7:$D$57=S13) * $E$7:$E$57, $I$7:$I$57) / SUMIF($D$7:$D$57, S13, $I$7:$I$57)</f>
        <v>21.969669811320752</v>
      </c>
    </row>
    <row r="14" spans="1:23" x14ac:dyDescent="0.3">
      <c r="A14" s="28" t="s">
        <v>33</v>
      </c>
      <c r="B14" s="5" t="s">
        <v>31</v>
      </c>
      <c r="C14" s="159">
        <v>5</v>
      </c>
      <c r="D14" s="20" t="s">
        <v>34</v>
      </c>
      <c r="E14" s="158">
        <v>27.64</v>
      </c>
      <c r="F14" s="158">
        <v>23.6</v>
      </c>
      <c r="G14" s="158">
        <v>29.04</v>
      </c>
      <c r="H14" s="158">
        <v>4.4000000000000004</v>
      </c>
      <c r="I14" s="158">
        <v>60</v>
      </c>
      <c r="J14" s="836">
        <v>0.56999999999999995</v>
      </c>
      <c r="O14" s="962" t="s">
        <v>27</v>
      </c>
      <c r="P14" s="845">
        <f t="shared" si="0"/>
        <v>22.354289734544484</v>
      </c>
      <c r="S14" s="962" t="s">
        <v>27</v>
      </c>
      <c r="T14" s="845" cm="1">
        <f t="array" ref="T14">SUMPRODUCT(($D$7:$D$57=S14) * $E$7:$E$57, $I$7:$I$57) / SUMIF($D$7:$D$57, S14, $I$7:$I$57)</f>
        <v>22.29479238754325</v>
      </c>
    </row>
    <row r="15" spans="1:23" x14ac:dyDescent="0.3">
      <c r="A15" s="28" t="s">
        <v>133</v>
      </c>
      <c r="B15" s="5" t="s">
        <v>40</v>
      </c>
      <c r="C15" s="159">
        <v>5</v>
      </c>
      <c r="D15" s="20" t="s">
        <v>34</v>
      </c>
      <c r="E15" s="158">
        <v>26.4</v>
      </c>
      <c r="F15" s="158">
        <v>46.9</v>
      </c>
      <c r="G15" s="158">
        <v>28.29</v>
      </c>
      <c r="H15" s="158">
        <v>18.600000000000001</v>
      </c>
      <c r="I15" s="158">
        <v>50</v>
      </c>
      <c r="J15" s="836">
        <v>0.32</v>
      </c>
      <c r="O15" s="962" t="s">
        <v>25</v>
      </c>
      <c r="P15" s="845">
        <f t="shared" si="0"/>
        <v>27.108045871609647</v>
      </c>
      <c r="S15" s="962" t="s">
        <v>25</v>
      </c>
      <c r="T15" s="845" cm="1">
        <f t="array" ref="T15">SUMPRODUCT(($D$7:$D$57=S15) * $E$7:$E$57, $I$7:$I$57) / SUMIF($D$7:$D$57, S15, $I$7:$I$57)</f>
        <v>27.035896103896107</v>
      </c>
    </row>
    <row r="16" spans="1:23" x14ac:dyDescent="0.3">
      <c r="A16" s="28" t="s">
        <v>35</v>
      </c>
      <c r="B16" s="5" t="s">
        <v>19</v>
      </c>
      <c r="C16" s="159">
        <v>5</v>
      </c>
      <c r="D16" s="20" t="s">
        <v>34</v>
      </c>
      <c r="E16" s="158">
        <v>22.94</v>
      </c>
      <c r="F16" s="158">
        <v>12.7</v>
      </c>
      <c r="G16" s="158">
        <v>24.12</v>
      </c>
      <c r="H16" s="158">
        <v>2.2999999999999998</v>
      </c>
      <c r="I16" s="158">
        <v>1990</v>
      </c>
      <c r="J16" s="836">
        <v>0.97</v>
      </c>
      <c r="O16" s="963" t="s">
        <v>23</v>
      </c>
      <c r="P16" s="846">
        <f t="shared" si="0"/>
        <v>31.17189930234882</v>
      </c>
      <c r="S16" s="963" t="s">
        <v>23</v>
      </c>
      <c r="T16" s="846" cm="1">
        <f t="array" ref="T16">SUMPRODUCT(($D$7:$D$57=S16) * $E$7:$E$57, $I$7:$I$57) / SUMIF($D$7:$D$57, S16, $I$7:$I$57)</f>
        <v>31.088933333333333</v>
      </c>
    </row>
    <row r="17" spans="1:20" x14ac:dyDescent="0.3">
      <c r="A17" s="28" t="s">
        <v>36</v>
      </c>
      <c r="B17" s="5" t="s">
        <v>19</v>
      </c>
      <c r="C17" s="159">
        <v>5</v>
      </c>
      <c r="D17" s="20" t="s">
        <v>34</v>
      </c>
      <c r="E17" s="158">
        <v>23.49</v>
      </c>
      <c r="F17" s="158">
        <v>27.3</v>
      </c>
      <c r="G17" s="158">
        <v>23.23</v>
      </c>
      <c r="H17" s="158">
        <v>1.3</v>
      </c>
      <c r="I17" s="158">
        <v>990</v>
      </c>
      <c r="J17" s="836">
        <v>0.97</v>
      </c>
      <c r="P17" s="107"/>
      <c r="T17" s="110"/>
    </row>
    <row r="18" spans="1:20" x14ac:dyDescent="0.3">
      <c r="A18" s="837" t="s">
        <v>37</v>
      </c>
      <c r="B18" s="838" t="s">
        <v>22</v>
      </c>
      <c r="C18" s="839">
        <v>9</v>
      </c>
      <c r="D18" s="981"/>
      <c r="E18" s="840"/>
      <c r="F18" s="840"/>
      <c r="G18" s="840"/>
      <c r="H18" s="840"/>
      <c r="I18" s="840"/>
      <c r="J18" s="841"/>
      <c r="K18" s="851" t="s">
        <v>568</v>
      </c>
      <c r="L18" s="215"/>
      <c r="M18" s="459"/>
      <c r="N18" s="215"/>
      <c r="O18" s="87" t="s">
        <v>1478</v>
      </c>
    </row>
    <row r="19" spans="1:20" x14ac:dyDescent="0.3">
      <c r="A19" s="28" t="s">
        <v>38</v>
      </c>
      <c r="B19" s="5" t="s">
        <v>22</v>
      </c>
      <c r="C19" s="159">
        <v>8</v>
      </c>
      <c r="D19" s="20" t="s">
        <v>25</v>
      </c>
      <c r="E19" s="158">
        <v>26.87</v>
      </c>
      <c r="F19" s="158">
        <v>24.1</v>
      </c>
      <c r="G19" s="158">
        <v>26.06</v>
      </c>
      <c r="H19" s="158">
        <v>3.4</v>
      </c>
      <c r="I19" s="158">
        <v>340</v>
      </c>
      <c r="J19" s="836">
        <v>1.93</v>
      </c>
      <c r="O19" s="1333" t="s">
        <v>199</v>
      </c>
      <c r="P19" s="1334"/>
      <c r="Q19" s="1335"/>
    </row>
    <row r="20" spans="1:20" x14ac:dyDescent="0.3">
      <c r="A20" s="28" t="s">
        <v>39</v>
      </c>
      <c r="B20" s="5" t="s">
        <v>40</v>
      </c>
      <c r="C20" s="159">
        <v>3</v>
      </c>
      <c r="D20" s="20" t="s">
        <v>41</v>
      </c>
      <c r="E20" s="158">
        <v>28.93</v>
      </c>
      <c r="F20" s="158">
        <v>6.5</v>
      </c>
      <c r="G20" s="158">
        <v>31.41</v>
      </c>
      <c r="H20" s="158">
        <v>1.6</v>
      </c>
      <c r="I20" s="158">
        <v>940</v>
      </c>
      <c r="J20" s="836">
        <v>0.73</v>
      </c>
      <c r="O20" s="217" t="s">
        <v>214</v>
      </c>
      <c r="P20" s="218" t="s">
        <v>356</v>
      </c>
      <c r="Q20" s="219" t="s">
        <v>236</v>
      </c>
    </row>
    <row r="21" spans="1:20" x14ac:dyDescent="0.3">
      <c r="A21" s="28" t="s">
        <v>42</v>
      </c>
      <c r="B21" s="5" t="s">
        <v>40</v>
      </c>
      <c r="C21" s="159">
        <v>3</v>
      </c>
      <c r="D21" s="20" t="s">
        <v>41</v>
      </c>
      <c r="E21" s="158">
        <v>31.39</v>
      </c>
      <c r="F21" s="158">
        <v>4.7</v>
      </c>
      <c r="G21" s="158">
        <v>29.04</v>
      </c>
      <c r="H21" s="158">
        <v>1.2</v>
      </c>
      <c r="I21" s="158">
        <v>720</v>
      </c>
      <c r="J21" s="836">
        <v>1.05</v>
      </c>
      <c r="O21" s="791">
        <v>2022</v>
      </c>
      <c r="P21" s="847">
        <v>26.68</v>
      </c>
      <c r="Q21" s="848" t="s">
        <v>357</v>
      </c>
    </row>
    <row r="22" spans="1:20" x14ac:dyDescent="0.3">
      <c r="A22" s="28" t="s">
        <v>43</v>
      </c>
      <c r="B22" s="5" t="s">
        <v>40</v>
      </c>
      <c r="C22" s="159">
        <v>4</v>
      </c>
      <c r="D22" s="20" t="s">
        <v>44</v>
      </c>
      <c r="E22" s="158">
        <v>23.76</v>
      </c>
      <c r="F22" s="158">
        <v>9.1999999999999993</v>
      </c>
      <c r="G22" s="158">
        <v>24.06</v>
      </c>
      <c r="H22" s="158">
        <v>2.6</v>
      </c>
      <c r="I22" s="158">
        <v>790</v>
      </c>
      <c r="J22" s="836">
        <v>2.37</v>
      </c>
      <c r="O22" s="792">
        <v>2023</v>
      </c>
      <c r="P22" s="849">
        <f>AVERAGE(E7:E17,E19:E57)</f>
        <v>26.751199999999994</v>
      </c>
      <c r="Q22" s="850" t="s">
        <v>358</v>
      </c>
      <c r="R22" s="30" t="s">
        <v>1290</v>
      </c>
    </row>
    <row r="23" spans="1:20" x14ac:dyDescent="0.3">
      <c r="A23" s="28" t="s">
        <v>45</v>
      </c>
      <c r="B23" s="5" t="s">
        <v>40</v>
      </c>
      <c r="C23" s="159">
        <v>4</v>
      </c>
      <c r="D23" s="20" t="s">
        <v>44</v>
      </c>
      <c r="E23" s="158">
        <v>24.06</v>
      </c>
      <c r="F23" s="158">
        <v>24.9</v>
      </c>
      <c r="G23" s="158">
        <v>25.78</v>
      </c>
      <c r="H23" s="158">
        <v>7.8</v>
      </c>
      <c r="I23" s="158">
        <v>140</v>
      </c>
      <c r="J23" s="836">
        <v>0.48</v>
      </c>
      <c r="R23" s="30"/>
    </row>
    <row r="24" spans="1:20" x14ac:dyDescent="0.3">
      <c r="A24" s="28" t="s">
        <v>46</v>
      </c>
      <c r="B24" s="5" t="s">
        <v>19</v>
      </c>
      <c r="C24" s="159">
        <v>6</v>
      </c>
      <c r="D24" s="20" t="s">
        <v>20</v>
      </c>
      <c r="E24" s="158">
        <v>21.3</v>
      </c>
      <c r="F24" s="158">
        <v>13</v>
      </c>
      <c r="G24" s="158">
        <v>24.69</v>
      </c>
      <c r="H24" s="158">
        <v>6.9</v>
      </c>
      <c r="I24" s="158">
        <v>800</v>
      </c>
      <c r="J24" s="836">
        <v>1.89</v>
      </c>
      <c r="O24" s="87" t="s">
        <v>452</v>
      </c>
      <c r="P24" s="782">
        <f>P22/P21 -1</f>
        <v>2.6686656671661702E-3</v>
      </c>
    </row>
    <row r="25" spans="1:20" x14ac:dyDescent="0.3">
      <c r="A25" s="28" t="s">
        <v>47</v>
      </c>
      <c r="B25" s="5" t="s">
        <v>19</v>
      </c>
      <c r="C25" s="159">
        <v>7</v>
      </c>
      <c r="D25" s="20" t="s">
        <v>27</v>
      </c>
      <c r="E25" s="158">
        <v>21.34</v>
      </c>
      <c r="F25" s="158">
        <v>12.5</v>
      </c>
      <c r="G25" s="158">
        <v>21.62</v>
      </c>
      <c r="H25" s="158">
        <v>3.2</v>
      </c>
      <c r="I25" s="158">
        <v>510</v>
      </c>
      <c r="J25" s="836">
        <v>1.28</v>
      </c>
    </row>
    <row r="26" spans="1:20" x14ac:dyDescent="0.3">
      <c r="A26" s="28" t="s">
        <v>48</v>
      </c>
      <c r="B26" s="5" t="s">
        <v>31</v>
      </c>
      <c r="C26" s="159">
        <v>1</v>
      </c>
      <c r="D26" s="20" t="s">
        <v>32</v>
      </c>
      <c r="E26" s="158">
        <v>25.28</v>
      </c>
      <c r="F26" s="158">
        <v>9.5</v>
      </c>
      <c r="G26" s="158">
        <v>26.33</v>
      </c>
      <c r="H26" s="158">
        <v>2.2999999999999998</v>
      </c>
      <c r="I26" s="158">
        <v>200</v>
      </c>
      <c r="J26" s="836">
        <v>1.53</v>
      </c>
    </row>
    <row r="27" spans="1:20" x14ac:dyDescent="0.3">
      <c r="A27" s="28" t="s">
        <v>49</v>
      </c>
      <c r="B27" s="5" t="s">
        <v>31</v>
      </c>
      <c r="C27" s="159">
        <v>5</v>
      </c>
      <c r="D27" s="20" t="s">
        <v>34</v>
      </c>
      <c r="E27" s="158">
        <v>32.18</v>
      </c>
      <c r="F27" s="158">
        <v>21.8</v>
      </c>
      <c r="G27" s="158">
        <v>31.14</v>
      </c>
      <c r="H27" s="158">
        <v>6.4</v>
      </c>
      <c r="I27" s="158">
        <v>570</v>
      </c>
      <c r="J27" s="836">
        <v>0.99</v>
      </c>
    </row>
    <row r="28" spans="1:20" x14ac:dyDescent="0.3">
      <c r="A28" s="28" t="s">
        <v>50</v>
      </c>
      <c r="B28" s="5" t="s">
        <v>31</v>
      </c>
      <c r="C28" s="159">
        <v>1</v>
      </c>
      <c r="D28" s="20" t="s">
        <v>32</v>
      </c>
      <c r="E28" s="158">
        <v>30.18</v>
      </c>
      <c r="F28" s="158">
        <v>11.2</v>
      </c>
      <c r="G28" s="158">
        <v>30.85</v>
      </c>
      <c r="H28" s="158">
        <v>3.7</v>
      </c>
      <c r="I28" s="158">
        <v>230</v>
      </c>
      <c r="J28" s="836">
        <v>0.28999999999999998</v>
      </c>
    </row>
    <row r="29" spans="1:20" x14ac:dyDescent="0.3">
      <c r="A29" s="28" t="s">
        <v>51</v>
      </c>
      <c r="B29" s="5" t="s">
        <v>40</v>
      </c>
      <c r="C29" s="159">
        <v>3</v>
      </c>
      <c r="D29" s="20" t="s">
        <v>41</v>
      </c>
      <c r="E29" s="158">
        <v>25.02</v>
      </c>
      <c r="F29" s="158">
        <v>12.9</v>
      </c>
      <c r="G29" s="158">
        <v>26.82</v>
      </c>
      <c r="H29" s="158">
        <v>2.8</v>
      </c>
      <c r="I29" s="158">
        <v>680</v>
      </c>
      <c r="J29" s="836">
        <v>0.73</v>
      </c>
    </row>
    <row r="30" spans="1:20" x14ac:dyDescent="0.3">
      <c r="A30" s="28" t="s">
        <v>52</v>
      </c>
      <c r="B30" s="5" t="s">
        <v>40</v>
      </c>
      <c r="C30" s="159">
        <v>4</v>
      </c>
      <c r="D30" s="20" t="s">
        <v>44</v>
      </c>
      <c r="E30" s="158">
        <v>37.25</v>
      </c>
      <c r="F30" s="158">
        <v>13</v>
      </c>
      <c r="G30" s="158">
        <v>35.590000000000003</v>
      </c>
      <c r="H30" s="158">
        <v>3.4</v>
      </c>
      <c r="I30" s="158">
        <v>900</v>
      </c>
      <c r="J30" s="836">
        <v>1.46</v>
      </c>
    </row>
    <row r="31" spans="1:20" x14ac:dyDescent="0.3">
      <c r="A31" s="28" t="s">
        <v>53</v>
      </c>
      <c r="B31" s="5" t="s">
        <v>19</v>
      </c>
      <c r="C31" s="159">
        <v>6</v>
      </c>
      <c r="D31" s="20" t="s">
        <v>20</v>
      </c>
      <c r="E31" s="158">
        <v>20.93</v>
      </c>
      <c r="F31" s="158">
        <v>30.3</v>
      </c>
      <c r="G31" s="158">
        <v>21.67</v>
      </c>
      <c r="H31" s="158">
        <v>4</v>
      </c>
      <c r="I31" s="158">
        <v>250</v>
      </c>
      <c r="J31" s="836">
        <v>1</v>
      </c>
    </row>
    <row r="32" spans="1:20" x14ac:dyDescent="0.3">
      <c r="A32" s="28" t="s">
        <v>54</v>
      </c>
      <c r="B32" s="5" t="s">
        <v>40</v>
      </c>
      <c r="C32" s="159">
        <v>4</v>
      </c>
      <c r="D32" s="20" t="s">
        <v>44</v>
      </c>
      <c r="E32" s="158">
        <v>21.14</v>
      </c>
      <c r="F32" s="158">
        <v>23.1</v>
      </c>
      <c r="G32" s="158">
        <v>21.06</v>
      </c>
      <c r="H32" s="158">
        <v>5.2</v>
      </c>
      <c r="I32" s="158">
        <v>190</v>
      </c>
      <c r="J32" s="836">
        <v>0.3</v>
      </c>
    </row>
    <row r="33" spans="1:10" x14ac:dyDescent="0.3">
      <c r="A33" s="28" t="s">
        <v>55</v>
      </c>
      <c r="B33" s="5" t="s">
        <v>22</v>
      </c>
      <c r="C33" s="159">
        <v>8</v>
      </c>
      <c r="D33" s="20" t="s">
        <v>25</v>
      </c>
      <c r="E33" s="158">
        <v>23.5</v>
      </c>
      <c r="F33" s="158">
        <v>10</v>
      </c>
      <c r="G33" s="158">
        <v>27.56</v>
      </c>
      <c r="H33" s="158">
        <v>1.6</v>
      </c>
      <c r="I33" s="158">
        <v>150</v>
      </c>
      <c r="J33" s="836">
        <v>1.41</v>
      </c>
    </row>
    <row r="34" spans="1:10" x14ac:dyDescent="0.3">
      <c r="A34" s="28" t="s">
        <v>56</v>
      </c>
      <c r="B34" s="5" t="s">
        <v>40</v>
      </c>
      <c r="C34" s="159">
        <v>4</v>
      </c>
      <c r="D34" s="20" t="s">
        <v>44</v>
      </c>
      <c r="E34" s="158">
        <v>23.37</v>
      </c>
      <c r="F34" s="158">
        <v>13.4</v>
      </c>
      <c r="G34" s="158">
        <v>24.85</v>
      </c>
      <c r="H34" s="158">
        <v>1.6</v>
      </c>
      <c r="I34" s="158">
        <v>600</v>
      </c>
      <c r="J34" s="836">
        <v>2.77</v>
      </c>
    </row>
    <row r="35" spans="1:10" x14ac:dyDescent="0.3">
      <c r="A35" s="28" t="s">
        <v>57</v>
      </c>
      <c r="B35" s="5" t="s">
        <v>22</v>
      </c>
      <c r="C35" s="159">
        <v>8</v>
      </c>
      <c r="D35" s="20" t="s">
        <v>25</v>
      </c>
      <c r="E35" s="158">
        <v>28.31</v>
      </c>
      <c r="F35" s="158">
        <v>19.399999999999999</v>
      </c>
      <c r="G35" s="158">
        <v>27.92</v>
      </c>
      <c r="H35" s="158">
        <v>4.7</v>
      </c>
      <c r="I35" s="158">
        <v>520</v>
      </c>
      <c r="J35" s="836">
        <v>1.62</v>
      </c>
    </row>
    <row r="36" spans="1:10" x14ac:dyDescent="0.3">
      <c r="A36" s="28" t="s">
        <v>58</v>
      </c>
      <c r="B36" s="5" t="s">
        <v>31</v>
      </c>
      <c r="C36" s="159">
        <v>1</v>
      </c>
      <c r="D36" s="20" t="s">
        <v>32</v>
      </c>
      <c r="E36" s="158">
        <v>24.02</v>
      </c>
      <c r="F36" s="158">
        <v>20.7</v>
      </c>
      <c r="G36" s="158">
        <v>25.94</v>
      </c>
      <c r="H36" s="158">
        <v>7.9</v>
      </c>
      <c r="I36" s="158">
        <v>250</v>
      </c>
      <c r="J36" s="836">
        <v>1.74</v>
      </c>
    </row>
    <row r="37" spans="1:10" x14ac:dyDescent="0.3">
      <c r="A37" s="28" t="s">
        <v>59</v>
      </c>
      <c r="B37" s="5" t="s">
        <v>31</v>
      </c>
      <c r="C37" s="159">
        <v>2</v>
      </c>
      <c r="D37" s="20" t="s">
        <v>60</v>
      </c>
      <c r="E37" s="158">
        <v>48.43</v>
      </c>
      <c r="F37" s="158">
        <v>17.2</v>
      </c>
      <c r="G37" s="158">
        <v>45.1</v>
      </c>
      <c r="H37" s="158">
        <v>7.1</v>
      </c>
      <c r="I37" s="158">
        <v>560</v>
      </c>
      <c r="J37" s="836">
        <v>0.62</v>
      </c>
    </row>
    <row r="38" spans="1:10" x14ac:dyDescent="0.3">
      <c r="A38" s="28" t="s">
        <v>61</v>
      </c>
      <c r="B38" s="5" t="s">
        <v>22</v>
      </c>
      <c r="C38" s="159">
        <v>8</v>
      </c>
      <c r="D38" s="20" t="s">
        <v>25</v>
      </c>
      <c r="E38" s="158">
        <v>21.94</v>
      </c>
      <c r="F38" s="158">
        <v>19.600000000000001</v>
      </c>
      <c r="G38" s="158">
        <v>25.7</v>
      </c>
      <c r="H38" s="158">
        <v>4.2</v>
      </c>
      <c r="I38" s="158">
        <v>340</v>
      </c>
      <c r="J38" s="836">
        <v>1.87</v>
      </c>
    </row>
    <row r="39" spans="1:10" x14ac:dyDescent="0.3">
      <c r="A39" s="28" t="s">
        <v>62</v>
      </c>
      <c r="B39" s="5" t="s">
        <v>31</v>
      </c>
      <c r="C39" s="159">
        <v>2</v>
      </c>
      <c r="D39" s="20" t="s">
        <v>60</v>
      </c>
      <c r="E39" s="158">
        <v>27.94</v>
      </c>
      <c r="F39" s="158">
        <v>10</v>
      </c>
      <c r="G39" s="158">
        <v>32.75</v>
      </c>
      <c r="H39" s="158">
        <v>4.5999999999999996</v>
      </c>
      <c r="I39" s="158">
        <v>1210</v>
      </c>
      <c r="J39" s="836">
        <v>0.6</v>
      </c>
    </row>
    <row r="40" spans="1:10" x14ac:dyDescent="0.3">
      <c r="A40" s="28" t="s">
        <v>63</v>
      </c>
      <c r="B40" s="5" t="s">
        <v>19</v>
      </c>
      <c r="C40" s="159">
        <v>5</v>
      </c>
      <c r="D40" s="20" t="s">
        <v>34</v>
      </c>
      <c r="E40" s="158">
        <v>23.61</v>
      </c>
      <c r="F40" s="158">
        <v>9.3000000000000007</v>
      </c>
      <c r="G40" s="158">
        <v>23.74</v>
      </c>
      <c r="H40" s="158">
        <v>1.3</v>
      </c>
      <c r="I40" s="158">
        <v>640</v>
      </c>
      <c r="J40" s="836">
        <v>0.62</v>
      </c>
    </row>
    <row r="41" spans="1:10" x14ac:dyDescent="0.3">
      <c r="A41" s="28" t="s">
        <v>64</v>
      </c>
      <c r="B41" s="5" t="s">
        <v>40</v>
      </c>
      <c r="C41" s="159">
        <v>4</v>
      </c>
      <c r="D41" s="20" t="s">
        <v>44</v>
      </c>
      <c r="E41" s="158">
        <v>35.08</v>
      </c>
      <c r="F41" s="158">
        <v>17</v>
      </c>
      <c r="G41" s="158">
        <v>36.03</v>
      </c>
      <c r="H41" s="158">
        <v>6.6</v>
      </c>
      <c r="I41" s="158">
        <v>210</v>
      </c>
      <c r="J41" s="836">
        <v>2.37</v>
      </c>
    </row>
    <row r="42" spans="1:10" x14ac:dyDescent="0.3">
      <c r="A42" s="28" t="s">
        <v>65</v>
      </c>
      <c r="B42" s="5" t="s">
        <v>40</v>
      </c>
      <c r="C42" s="159">
        <v>3</v>
      </c>
      <c r="D42" s="20" t="s">
        <v>41</v>
      </c>
      <c r="E42" s="158">
        <v>23.13</v>
      </c>
      <c r="F42" s="158">
        <v>9.6999999999999993</v>
      </c>
      <c r="G42" s="158">
        <v>25.88</v>
      </c>
      <c r="H42" s="158">
        <v>2</v>
      </c>
      <c r="I42" s="158">
        <v>1390</v>
      </c>
      <c r="J42" s="836">
        <v>1.18</v>
      </c>
    </row>
    <row r="43" spans="1:10" x14ac:dyDescent="0.3">
      <c r="A43" s="28" t="s">
        <v>66</v>
      </c>
      <c r="B43" s="5" t="s">
        <v>19</v>
      </c>
      <c r="C43" s="159">
        <v>7</v>
      </c>
      <c r="D43" s="20" t="s">
        <v>27</v>
      </c>
      <c r="E43" s="158">
        <v>21.15</v>
      </c>
      <c r="F43" s="158">
        <v>11.4</v>
      </c>
      <c r="G43" s="158">
        <v>20.89</v>
      </c>
      <c r="H43" s="158">
        <v>2.2000000000000002</v>
      </c>
      <c r="I43" s="158">
        <v>270</v>
      </c>
      <c r="J43" s="836">
        <v>0.77</v>
      </c>
    </row>
    <row r="44" spans="1:10" x14ac:dyDescent="0.3">
      <c r="A44" s="28" t="s">
        <v>67</v>
      </c>
      <c r="B44" s="5" t="s">
        <v>22</v>
      </c>
      <c r="C44" s="159">
        <v>9</v>
      </c>
      <c r="D44" s="20" t="s">
        <v>23</v>
      </c>
      <c r="E44" s="158">
        <v>28.32</v>
      </c>
      <c r="F44" s="158">
        <v>11.2</v>
      </c>
      <c r="G44" s="158">
        <v>28.4</v>
      </c>
      <c r="H44" s="158">
        <v>2.5</v>
      </c>
      <c r="I44" s="158">
        <v>240</v>
      </c>
      <c r="J44" s="836">
        <v>0.57999999999999996</v>
      </c>
    </row>
    <row r="45" spans="1:10" x14ac:dyDescent="0.3">
      <c r="A45" s="28" t="s">
        <v>68</v>
      </c>
      <c r="B45" s="5" t="s">
        <v>31</v>
      </c>
      <c r="C45" s="159">
        <v>2</v>
      </c>
      <c r="D45" s="20" t="s">
        <v>60</v>
      </c>
      <c r="E45" s="158">
        <v>22.54</v>
      </c>
      <c r="F45" s="158">
        <v>8.9</v>
      </c>
      <c r="G45" s="158">
        <v>25.05</v>
      </c>
      <c r="H45" s="158">
        <v>4.4000000000000004</v>
      </c>
      <c r="I45" s="158">
        <v>1980</v>
      </c>
      <c r="J45" s="836">
        <v>1.55</v>
      </c>
    </row>
    <row r="46" spans="1:10" x14ac:dyDescent="0.3">
      <c r="A46" s="28" t="s">
        <v>69</v>
      </c>
      <c r="B46" s="5" t="s">
        <v>31</v>
      </c>
      <c r="C46" s="159">
        <v>1</v>
      </c>
      <c r="D46" s="20" t="s">
        <v>32</v>
      </c>
      <c r="E46" s="158">
        <v>27.23</v>
      </c>
      <c r="F46" s="158" t="s">
        <v>146</v>
      </c>
      <c r="G46" s="158">
        <v>28.69</v>
      </c>
      <c r="H46" s="158">
        <v>3.2</v>
      </c>
      <c r="I46" s="158" t="s">
        <v>146</v>
      </c>
      <c r="J46" s="836" t="s">
        <v>146</v>
      </c>
    </row>
    <row r="47" spans="1:10" x14ac:dyDescent="0.3">
      <c r="A47" s="28" t="s">
        <v>70</v>
      </c>
      <c r="B47" s="5" t="s">
        <v>19</v>
      </c>
      <c r="C47" s="159">
        <v>5</v>
      </c>
      <c r="D47" s="20" t="s">
        <v>34</v>
      </c>
      <c r="E47" s="158">
        <v>22</v>
      </c>
      <c r="F47" s="158">
        <v>16.8</v>
      </c>
      <c r="G47" s="158">
        <v>22.18</v>
      </c>
      <c r="H47" s="158">
        <v>3.2</v>
      </c>
      <c r="I47" s="158">
        <v>710</v>
      </c>
      <c r="J47" s="836">
        <v>1.49</v>
      </c>
    </row>
    <row r="48" spans="1:10" x14ac:dyDescent="0.3">
      <c r="A48" s="28" t="s">
        <v>71</v>
      </c>
      <c r="B48" s="5" t="s">
        <v>19</v>
      </c>
      <c r="C48" s="159">
        <v>4</v>
      </c>
      <c r="D48" s="20" t="s">
        <v>44</v>
      </c>
      <c r="E48" s="158">
        <v>23.7</v>
      </c>
      <c r="F48" s="158">
        <v>12.4</v>
      </c>
      <c r="G48" s="158">
        <v>23.71</v>
      </c>
      <c r="H48" s="158">
        <v>2.5</v>
      </c>
      <c r="I48" s="158">
        <v>210</v>
      </c>
      <c r="J48" s="836">
        <v>2.2400000000000002</v>
      </c>
    </row>
    <row r="49" spans="1:10" x14ac:dyDescent="0.3">
      <c r="A49" s="28" t="s">
        <v>72</v>
      </c>
      <c r="B49" s="5" t="s">
        <v>22</v>
      </c>
      <c r="C49" s="159">
        <v>6</v>
      </c>
      <c r="D49" s="20" t="s">
        <v>20</v>
      </c>
      <c r="E49" s="158">
        <v>23.2</v>
      </c>
      <c r="F49" s="158">
        <v>15.6</v>
      </c>
      <c r="G49" s="158">
        <v>23.97</v>
      </c>
      <c r="H49" s="158">
        <v>1.8</v>
      </c>
      <c r="I49" s="158">
        <v>510</v>
      </c>
      <c r="J49" s="836">
        <v>0.74</v>
      </c>
    </row>
    <row r="50" spans="1:10" x14ac:dyDescent="0.3">
      <c r="A50" s="28" t="s">
        <v>73</v>
      </c>
      <c r="B50" s="5" t="s">
        <v>31</v>
      </c>
      <c r="C50" s="159">
        <v>7</v>
      </c>
      <c r="D50" s="20" t="s">
        <v>27</v>
      </c>
      <c r="E50" s="158">
        <v>22.62</v>
      </c>
      <c r="F50" s="158">
        <v>10.5</v>
      </c>
      <c r="G50" s="158">
        <v>23.19</v>
      </c>
      <c r="H50" s="158">
        <v>2.2000000000000002</v>
      </c>
      <c r="I50" s="158">
        <v>4750</v>
      </c>
      <c r="J50" s="836">
        <v>1.63</v>
      </c>
    </row>
    <row r="51" spans="1:10" x14ac:dyDescent="0.3">
      <c r="A51" s="28" t="s">
        <v>74</v>
      </c>
      <c r="B51" s="5" t="s">
        <v>19</v>
      </c>
      <c r="C51" s="159">
        <v>8</v>
      </c>
      <c r="D51" s="20" t="s">
        <v>25</v>
      </c>
      <c r="E51" s="158">
        <v>23.88</v>
      </c>
      <c r="F51" s="158">
        <v>11.8</v>
      </c>
      <c r="G51" s="158">
        <v>25.2</v>
      </c>
      <c r="H51" s="158">
        <v>1.2</v>
      </c>
      <c r="I51" s="158">
        <v>1000</v>
      </c>
      <c r="J51" s="836">
        <v>2.78</v>
      </c>
    </row>
    <row r="52" spans="1:10" x14ac:dyDescent="0.3">
      <c r="A52" s="28" t="s">
        <v>75</v>
      </c>
      <c r="B52" s="5" t="s">
        <v>22</v>
      </c>
      <c r="C52" s="159">
        <v>1</v>
      </c>
      <c r="D52" s="20" t="s">
        <v>32</v>
      </c>
      <c r="E52" s="158">
        <v>23.74</v>
      </c>
      <c r="F52" s="158">
        <v>13.5</v>
      </c>
      <c r="G52" s="158">
        <v>25.22</v>
      </c>
      <c r="H52" s="158">
        <v>3.1</v>
      </c>
      <c r="I52" s="158">
        <v>170</v>
      </c>
      <c r="J52" s="836">
        <v>2.58</v>
      </c>
    </row>
    <row r="53" spans="1:10" x14ac:dyDescent="0.3">
      <c r="A53" s="28" t="s">
        <v>76</v>
      </c>
      <c r="B53" s="5" t="s">
        <v>31</v>
      </c>
      <c r="C53" s="159">
        <v>5</v>
      </c>
      <c r="D53" s="20" t="s">
        <v>34</v>
      </c>
      <c r="E53" s="158">
        <v>23.44</v>
      </c>
      <c r="F53" s="158">
        <v>17.5</v>
      </c>
      <c r="G53" s="158">
        <v>24.63</v>
      </c>
      <c r="H53" s="158">
        <v>3.6</v>
      </c>
      <c r="I53" s="158">
        <v>1750</v>
      </c>
      <c r="J53" s="836">
        <v>2.0499999999999998</v>
      </c>
    </row>
    <row r="54" spans="1:10" x14ac:dyDescent="0.3">
      <c r="A54" s="28" t="s">
        <v>77</v>
      </c>
      <c r="B54" s="5" t="s">
        <v>19</v>
      </c>
      <c r="C54" s="159">
        <v>9</v>
      </c>
      <c r="D54" s="20" t="s">
        <v>23</v>
      </c>
      <c r="E54" s="158">
        <v>29.99</v>
      </c>
      <c r="F54" s="158">
        <v>10.7</v>
      </c>
      <c r="G54" s="158">
        <v>32.369999999999997</v>
      </c>
      <c r="H54" s="158">
        <v>4</v>
      </c>
      <c r="I54" s="158">
        <v>470</v>
      </c>
      <c r="J54" s="836">
        <v>0.62</v>
      </c>
    </row>
    <row r="55" spans="1:10" x14ac:dyDescent="0.3">
      <c r="A55" s="28" t="s">
        <v>78</v>
      </c>
      <c r="B55" s="5" t="s">
        <v>22</v>
      </c>
      <c r="C55" s="159">
        <v>5</v>
      </c>
      <c r="D55" s="20" t="s">
        <v>34</v>
      </c>
      <c r="E55" s="158">
        <v>30.85</v>
      </c>
      <c r="F55" s="158">
        <v>22.6</v>
      </c>
      <c r="G55" s="158">
        <v>28.79</v>
      </c>
      <c r="H55" s="158">
        <v>7.8</v>
      </c>
      <c r="I55" s="158">
        <v>340</v>
      </c>
      <c r="J55" s="836">
        <v>2.27</v>
      </c>
    </row>
    <row r="56" spans="1:10" x14ac:dyDescent="0.3">
      <c r="A56" s="28" t="s">
        <v>79</v>
      </c>
      <c r="B56" s="5" t="s">
        <v>31</v>
      </c>
      <c r="C56" s="159">
        <v>3</v>
      </c>
      <c r="D56" s="20" t="s">
        <v>41</v>
      </c>
      <c r="E56" s="158">
        <v>28.09</v>
      </c>
      <c r="F56" s="158">
        <v>8.3000000000000007</v>
      </c>
      <c r="G56" s="158">
        <v>28.08</v>
      </c>
      <c r="H56" s="158">
        <v>1.2</v>
      </c>
      <c r="I56" s="158">
        <v>710</v>
      </c>
      <c r="J56" s="836">
        <v>1.1499999999999999</v>
      </c>
    </row>
    <row r="57" spans="1:10" x14ac:dyDescent="0.3">
      <c r="A57" s="29" t="s">
        <v>80</v>
      </c>
      <c r="B57" s="46" t="s">
        <v>40</v>
      </c>
      <c r="C57" s="842">
        <v>8</v>
      </c>
      <c r="D57" s="982" t="s">
        <v>25</v>
      </c>
      <c r="E57" s="843">
        <v>35.06</v>
      </c>
      <c r="F57" s="843">
        <v>6.4</v>
      </c>
      <c r="G57" s="843">
        <v>35.56</v>
      </c>
      <c r="H57" s="843">
        <v>0.9</v>
      </c>
      <c r="I57" s="843">
        <v>360</v>
      </c>
      <c r="J57" s="844">
        <v>6.19</v>
      </c>
    </row>
    <row r="58" spans="1:10" x14ac:dyDescent="0.3">
      <c r="A58" s="30" t="s">
        <v>563</v>
      </c>
      <c r="B58" s="5"/>
      <c r="C58" s="159"/>
      <c r="D58" s="5"/>
      <c r="E58" s="5"/>
      <c r="F58" s="5"/>
      <c r="G58" s="5"/>
      <c r="H58" s="5"/>
      <c r="I58" s="5"/>
      <c r="J58" s="5"/>
    </row>
    <row r="60" spans="1:10" x14ac:dyDescent="0.3">
      <c r="A60" s="5" t="s">
        <v>1471</v>
      </c>
      <c r="C60" s="87"/>
    </row>
    <row r="61" spans="1:10" x14ac:dyDescent="0.3">
      <c r="A61" s="5" t="s">
        <v>1472</v>
      </c>
      <c r="C61" s="87"/>
    </row>
  </sheetData>
  <mergeCells count="9">
    <mergeCell ref="V1:V3"/>
    <mergeCell ref="A1:C2"/>
    <mergeCell ref="S6:T6"/>
    <mergeCell ref="O19:Q19"/>
    <mergeCell ref="A5:J5"/>
    <mergeCell ref="O6:P6"/>
    <mergeCell ref="A3:E3"/>
    <mergeCell ref="O3:P4"/>
    <mergeCell ref="S3:T4"/>
  </mergeCells>
  <hyperlinks>
    <hyperlink ref="A58" r:id="rId1" xr:uid="{0B340DA4-4E70-4AE4-AECA-EE68117287F8}"/>
    <hyperlink ref="R22" r:id="rId2" xr:uid="{FEE7ED07-268F-4212-914A-6C37041F4A61}"/>
  </hyperlinks>
  <pageMargins left="0.7" right="0.7" top="0.75" bottom="0.75" header="0.3" footer="0.3"/>
  <pageSetup orientation="portrait" r:id="rId3"/>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7E8CA-8231-441D-A62F-FFA20601D4FD}">
  <sheetPr codeName="Sheet5">
    <tabColor theme="9" tint="-0.249977111117893"/>
  </sheetPr>
  <dimension ref="A1:AJ75"/>
  <sheetViews>
    <sheetView zoomScale="85" zoomScaleNormal="85" workbookViewId="0"/>
  </sheetViews>
  <sheetFormatPr defaultColWidth="9.140625" defaultRowHeight="15" x14ac:dyDescent="0.25"/>
  <cols>
    <col min="1" max="1" width="21.85546875" style="5" customWidth="1"/>
    <col min="2" max="3" width="9.140625" style="5"/>
    <col min="4" max="4" width="20.85546875" style="5" customWidth="1"/>
    <col min="5" max="5" width="10.7109375" style="5" customWidth="1"/>
    <col min="6" max="6" width="20.85546875" style="5" customWidth="1"/>
    <col min="7" max="7" width="17.7109375" style="5" customWidth="1"/>
    <col min="8" max="8" width="40.7109375" style="5" customWidth="1"/>
    <col min="9" max="9" width="13.7109375" style="5" customWidth="1"/>
    <col min="10" max="10" width="13.85546875" style="5" customWidth="1"/>
    <col min="11" max="11" width="26.140625" style="5" customWidth="1"/>
    <col min="12" max="12" width="11.5703125" style="5" customWidth="1"/>
    <col min="13" max="18" width="9.140625" style="5"/>
    <col min="19" max="19" width="19.7109375" style="5" customWidth="1"/>
    <col min="20" max="16384" width="9.140625" style="5"/>
  </cols>
  <sheetData>
    <row r="1" spans="1:36" ht="90" customHeight="1" x14ac:dyDescent="0.25">
      <c r="A1" s="358" t="s">
        <v>351</v>
      </c>
      <c r="B1" s="1093" t="s">
        <v>1479</v>
      </c>
      <c r="C1" s="1093"/>
      <c r="D1" s="1093"/>
      <c r="E1" s="1093"/>
      <c r="F1" s="1093" t="s">
        <v>1480</v>
      </c>
      <c r="G1" s="1093"/>
      <c r="H1" s="1093"/>
      <c r="J1" s="1341" t="s">
        <v>564</v>
      </c>
      <c r="K1" s="1341"/>
      <c r="L1" s="1341"/>
      <c r="Q1" s="1339" t="s">
        <v>516</v>
      </c>
      <c r="R1" s="1340"/>
    </row>
    <row r="2" spans="1:36" ht="90" customHeight="1" thickBot="1" x14ac:dyDescent="0.3">
      <c r="A2" s="360"/>
      <c r="B2" s="262"/>
      <c r="C2" s="262"/>
      <c r="D2" s="262"/>
      <c r="E2" s="262"/>
      <c r="F2" s="262"/>
      <c r="G2" s="262"/>
      <c r="H2" s="262"/>
      <c r="J2" s="361"/>
      <c r="K2" s="361"/>
      <c r="L2" s="361"/>
    </row>
    <row r="3" spans="1:36" ht="18.75" customHeight="1" x14ac:dyDescent="0.3">
      <c r="A3" s="62"/>
      <c r="D3" s="42"/>
      <c r="K3" s="1194" t="s">
        <v>455</v>
      </c>
      <c r="L3" s="1195"/>
      <c r="M3" s="1195"/>
      <c r="N3" s="1195"/>
      <c r="O3" s="1195"/>
      <c r="P3" s="1195"/>
      <c r="Q3" s="1195"/>
      <c r="R3" s="1195"/>
      <c r="S3" s="1195"/>
      <c r="T3" s="1195"/>
      <c r="U3" s="1195"/>
      <c r="V3" s="1195"/>
      <c r="W3" s="1195"/>
      <c r="X3" s="1195"/>
      <c r="Y3" s="1195"/>
      <c r="Z3" s="1195"/>
      <c r="AA3" s="1195"/>
      <c r="AB3" s="1195"/>
      <c r="AC3" s="1195"/>
      <c r="AD3" s="1195"/>
      <c r="AE3" s="1195"/>
      <c r="AF3" s="1195"/>
      <c r="AG3" s="1195"/>
      <c r="AH3" s="1195"/>
      <c r="AI3" s="1195"/>
      <c r="AJ3" s="1196"/>
    </row>
    <row r="4" spans="1:36" ht="15" customHeight="1" x14ac:dyDescent="0.25">
      <c r="D4" s="42"/>
      <c r="F4" s="5" t="s">
        <v>1481</v>
      </c>
      <c r="K4" s="222" t="s">
        <v>572</v>
      </c>
      <c r="M4" s="42"/>
      <c r="N4" s="43"/>
      <c r="O4" s="42"/>
      <c r="AJ4" s="223"/>
    </row>
    <row r="5" spans="1:36" ht="15.75" thickBot="1" x14ac:dyDescent="0.3">
      <c r="D5" s="42"/>
      <c r="K5" s="224" t="s">
        <v>1288</v>
      </c>
      <c r="M5" s="42"/>
      <c r="N5" s="43"/>
      <c r="O5" s="42"/>
      <c r="AJ5" s="223"/>
    </row>
    <row r="6" spans="1:36" ht="18.75" x14ac:dyDescent="0.25">
      <c r="D6" s="42"/>
      <c r="F6" s="1237" t="s">
        <v>527</v>
      </c>
      <c r="G6" s="1238"/>
      <c r="H6" s="1239"/>
      <c r="K6" s="224" t="s">
        <v>1289</v>
      </c>
      <c r="M6" s="42"/>
      <c r="N6" s="43"/>
      <c r="O6" s="42"/>
      <c r="AJ6" s="223"/>
    </row>
    <row r="7" spans="1:36" x14ac:dyDescent="0.25">
      <c r="D7" s="42"/>
      <c r="F7" s="201" t="s">
        <v>519</v>
      </c>
      <c r="G7" s="229" t="s">
        <v>6</v>
      </c>
      <c r="H7" s="230" t="s">
        <v>7</v>
      </c>
      <c r="K7" s="224" t="s">
        <v>567</v>
      </c>
      <c r="M7" s="42"/>
      <c r="N7" s="43"/>
      <c r="O7" s="42"/>
      <c r="AJ7" s="223"/>
    </row>
    <row r="8" spans="1:36" x14ac:dyDescent="0.25">
      <c r="D8" s="42"/>
      <c r="F8" s="967" t="s">
        <v>32</v>
      </c>
      <c r="G8" s="298" cm="1">
        <f t="array" ref="G8">SUMPRODUCT(($D$25:$D$75=F8) * $E$25:$E$75, $G$25:$G$75) / SUMIF($D$25:$D$75, F8, $G$25:$G$75)</f>
        <v>2.0211907866454763E-2</v>
      </c>
      <c r="H8" s="299" cm="1">
        <f t="array" ref="H8">SUMPRODUCT(($D$25:$D$75=F8) * $F$25:$F$75, $G$25:$G$75) / SUMIF($D$25:$D$75, F8, $G$25:$G$75)</f>
        <v>5.5441834401653796E-2</v>
      </c>
      <c r="K8" s="309" t="s">
        <v>136</v>
      </c>
      <c r="M8" s="42"/>
      <c r="N8" s="43"/>
      <c r="O8" s="42"/>
      <c r="AJ8" s="223"/>
    </row>
    <row r="9" spans="1:36" x14ac:dyDescent="0.25">
      <c r="D9" s="42"/>
      <c r="F9" s="967" t="s">
        <v>60</v>
      </c>
      <c r="G9" s="298" cm="1">
        <f t="array" ref="G9">SUMPRODUCT(($D$25:$D$75=F9) * $E$25:$E$75, $G$25:$G$75) / SUMIF($D$25:$D$75, F9, $G$25:$G$75)</f>
        <v>1.6949492520276763E-2</v>
      </c>
      <c r="H9" s="299" cm="1">
        <f t="array" ref="H9">SUMPRODUCT(($D$25:$D$75=F9) * $F$25:$F$75, $G$25:$G$75) / SUMIF($D$25:$D$75, F9, $G$25:$G$75)</f>
        <v>4.9612063509863059E-2</v>
      </c>
      <c r="K9" s="450" t="s">
        <v>359</v>
      </c>
      <c r="M9" s="42"/>
      <c r="N9" s="43"/>
      <c r="O9" s="42"/>
      <c r="AJ9" s="223"/>
    </row>
    <row r="10" spans="1:36" x14ac:dyDescent="0.25">
      <c r="D10" s="42"/>
      <c r="F10" s="967" t="s">
        <v>41</v>
      </c>
      <c r="G10" s="298" cm="1">
        <f t="array" ref="G10">SUMPRODUCT(($D$25:$D$75=F10) * $E$25:$E$75, $G$25:$G$75) / SUMIF($D$25:$D$75, F10, $G$25:$G$75)</f>
        <v>3.3345153871781254E-2</v>
      </c>
      <c r="H10" s="299" cm="1">
        <f t="array" ref="H10">SUMPRODUCT(($D$25:$D$75=F10) * $F$25:$F$75, $G$25:$G$75) / SUMIF($D$25:$D$75, F10, $G$25:$G$75)</f>
        <v>6.7562952872880805E-2</v>
      </c>
      <c r="K10" s="450" t="s">
        <v>360</v>
      </c>
      <c r="M10" s="42"/>
      <c r="N10" s="43"/>
      <c r="O10" s="42"/>
      <c r="P10" s="5" t="s">
        <v>361</v>
      </c>
      <c r="AJ10" s="223"/>
    </row>
    <row r="11" spans="1:36" x14ac:dyDescent="0.25">
      <c r="F11" s="967" t="s">
        <v>44</v>
      </c>
      <c r="G11" s="298" cm="1">
        <f t="array" ref="G11">SUMPRODUCT(($D$25:$D$75=F11) * $E$25:$E$75, $G$25:$G$75) / SUMIF($D$25:$D$75, F11, $G$25:$G$75)</f>
        <v>5.5123945501874633E-2</v>
      </c>
      <c r="H11" s="299" cm="1">
        <f t="array" ref="H11">SUMPRODUCT(($D$25:$D$75=F11) * $F$25:$F$75, $G$25:$G$75) / SUMIF($D$25:$D$75, F11, $G$25:$G$75)</f>
        <v>7.3543734261307739E-2</v>
      </c>
      <c r="K11" s="450" t="s">
        <v>566</v>
      </c>
      <c r="M11" s="42"/>
      <c r="N11" s="43"/>
      <c r="O11" s="42"/>
      <c r="AJ11" s="223"/>
    </row>
    <row r="12" spans="1:36" ht="15.75" thickBot="1" x14ac:dyDescent="0.3">
      <c r="F12" s="967" t="s">
        <v>34</v>
      </c>
      <c r="G12" s="298" cm="1">
        <f t="array" ref="G12">SUMPRODUCT(($D$25:$D$75=F12) * $E$25:$E$75, $G$25:$G$75) / SUMIF($D$25:$D$75, F12, $G$25:$G$75)</f>
        <v>1.4602313772912254E-2</v>
      </c>
      <c r="H12" s="299" cm="1">
        <f t="array" ref="H12">SUMPRODUCT(($D$25:$D$75=F12) * $F$25:$F$75, $G$25:$G$75) / SUMIF($D$25:$D$75, F12, $G$25:$G$75)</f>
        <v>6.3075942684391484E-2</v>
      </c>
      <c r="K12" s="451" t="s">
        <v>85</v>
      </c>
      <c r="L12" s="225"/>
      <c r="M12" s="226"/>
      <c r="N12" s="227"/>
      <c r="O12" s="226"/>
      <c r="P12" s="225"/>
      <c r="Q12" s="225"/>
      <c r="R12" s="225"/>
      <c r="S12" s="225"/>
      <c r="T12" s="225"/>
      <c r="U12" s="225"/>
      <c r="V12" s="225"/>
      <c r="W12" s="225"/>
      <c r="X12" s="225"/>
      <c r="Y12" s="225"/>
      <c r="Z12" s="225"/>
      <c r="AA12" s="225"/>
      <c r="AB12" s="225"/>
      <c r="AC12" s="225"/>
      <c r="AD12" s="225"/>
      <c r="AE12" s="225"/>
      <c r="AF12" s="225"/>
      <c r="AG12" s="225"/>
      <c r="AH12" s="225"/>
      <c r="AI12" s="225"/>
      <c r="AJ12" s="228"/>
    </row>
    <row r="13" spans="1:36" x14ac:dyDescent="0.25">
      <c r="F13" s="967" t="s">
        <v>20</v>
      </c>
      <c r="G13" s="298" cm="1">
        <f t="array" ref="G13">SUMPRODUCT(($D$25:$D$75=F13) * $E$25:$E$75, $G$25:$G$75) / SUMIF($D$25:$D$75, F13, $G$25:$G$75)</f>
        <v>4.8319792327225677E-2</v>
      </c>
      <c r="H13" s="299" cm="1">
        <f t="array" ref="H13">SUMPRODUCT(($D$25:$D$75=F13) * $F$25:$F$75, $G$25:$G$75) / SUMIF($D$25:$D$75, F13, $G$25:$G$75)</f>
        <v>7.7982144533108075E-2</v>
      </c>
    </row>
    <row r="14" spans="1:36" x14ac:dyDescent="0.25">
      <c r="F14" s="967" t="s">
        <v>27</v>
      </c>
      <c r="G14" s="298" cm="1">
        <f t="array" ref="G14">SUMPRODUCT(($D$25:$D$75=F14) * $E$25:$E$75, $G$25:$G$75) / SUMIF($D$25:$D$75, F14, $G$25:$G$75)</f>
        <v>9.4894269507386095E-2</v>
      </c>
      <c r="H14" s="299" cm="1">
        <f t="array" ref="H14">SUMPRODUCT(($D$25:$D$75=F14) * $F$25:$F$75, $G$25:$G$75) / SUMIF($D$25:$D$75, F14, $G$25:$G$75)</f>
        <v>9.4894269507386095E-2</v>
      </c>
    </row>
    <row r="15" spans="1:36" x14ac:dyDescent="0.25">
      <c r="F15" s="967" t="s">
        <v>25</v>
      </c>
      <c r="G15" s="298" cm="1">
        <f t="array" ref="G15">SUMPRODUCT(($D$25:$D$75=F15) * $E$25:$E$75, $G$25:$G$75) / SUMIF($D$25:$D$75, F15, $G$25:$G$75)</f>
        <v>4.3211832951417416E-2</v>
      </c>
      <c r="H15" s="299" cm="1">
        <f t="array" ref="H15">SUMPRODUCT(($D$25:$D$75=F15) * $F$25:$F$75, $G$25:$G$75) / SUMIF($D$25:$D$75, F15, $G$25:$G$75)</f>
        <v>7.4713520344459231E-2</v>
      </c>
    </row>
    <row r="16" spans="1:36" ht="15" customHeight="1" x14ac:dyDescent="0.25">
      <c r="F16" s="967" t="s">
        <v>23</v>
      </c>
      <c r="G16" s="298" cm="1">
        <f t="array" ref="G16">SUMPRODUCT(($D$25:$D$75=F16) * $E$25:$E$75, $G$25:$G$75) / SUMIF($D$25:$D$75, F16, $G$25:$G$75)</f>
        <v>1.3560157258441733E-2</v>
      </c>
      <c r="H16" s="299" cm="1">
        <f t="array" ref="H16">SUMPRODUCT(($D$25:$D$75=F16) * $F$25:$F$75, $G$25:$G$75) / SUMIF($D$25:$D$75, F16, $G$25:$G$75)</f>
        <v>8.50934956137155E-2</v>
      </c>
      <c r="R16" s="362"/>
    </row>
    <row r="17" spans="1:18" ht="15.75" customHeight="1" thickBot="1" x14ac:dyDescent="0.3">
      <c r="F17" s="968" t="s">
        <v>151</v>
      </c>
      <c r="G17" s="300">
        <f>SUMPRODUCT($E$25:$E$75,$G$25:$G$75)/SUM($G$25:$G$75)</f>
        <v>3.4552262675567179E-2</v>
      </c>
      <c r="H17" s="301">
        <f>SUMPRODUCT($F$25:$F$75, $G$25:$G$75) / SUM($G$25:$G$75)</f>
        <v>7.16364588493444E-2</v>
      </c>
      <c r="R17" s="362"/>
    </row>
    <row r="18" spans="1:18" ht="15" customHeight="1" x14ac:dyDescent="0.25">
      <c r="H18" s="81"/>
      <c r="Q18" s="20"/>
      <c r="R18" s="362"/>
    </row>
    <row r="19" spans="1:18" ht="11.25" customHeight="1" x14ac:dyDescent="0.25">
      <c r="H19" s="23"/>
      <c r="K19" s="42"/>
      <c r="L19" s="43"/>
      <c r="M19" s="42"/>
    </row>
    <row r="20" spans="1:18" ht="45.75" customHeight="1" x14ac:dyDescent="0.25">
      <c r="A20" s="1093" t="s">
        <v>1483</v>
      </c>
      <c r="B20" s="1093"/>
      <c r="C20" s="1093"/>
      <c r="D20" s="1093"/>
      <c r="E20" s="1093"/>
      <c r="G20" s="1093" t="s">
        <v>1482</v>
      </c>
      <c r="H20" s="1093"/>
      <c r="K20" s="42"/>
      <c r="L20" s="43"/>
      <c r="M20" s="42"/>
    </row>
    <row r="21" spans="1:18" ht="15" customHeight="1" x14ac:dyDescent="0.25">
      <c r="A21" s="704" t="s">
        <v>1566</v>
      </c>
      <c r="B21" s="262"/>
      <c r="C21" s="262"/>
      <c r="D21" s="262"/>
      <c r="H21" s="23"/>
      <c r="I21" s="20"/>
      <c r="K21" s="42"/>
      <c r="L21" s="43"/>
      <c r="M21" s="42"/>
    </row>
    <row r="22" spans="1:18" ht="15.75" thickBot="1" x14ac:dyDescent="0.3">
      <c r="A22" s="452" t="s">
        <v>363</v>
      </c>
      <c r="H22" s="32"/>
      <c r="K22" s="42"/>
      <c r="L22" s="43"/>
      <c r="M22" s="42"/>
    </row>
    <row r="23" spans="1:18" ht="18.75" x14ac:dyDescent="0.3">
      <c r="A23" s="1194" t="s">
        <v>362</v>
      </c>
      <c r="B23" s="1195"/>
      <c r="C23" s="1195"/>
      <c r="D23" s="1195"/>
      <c r="E23" s="1195"/>
      <c r="F23" s="1195"/>
      <c r="G23" s="1196"/>
      <c r="K23" s="42"/>
      <c r="L23" s="43"/>
      <c r="M23" s="42"/>
    </row>
    <row r="24" spans="1:18" ht="42.75" x14ac:dyDescent="0.25">
      <c r="A24" s="705" t="s">
        <v>15</v>
      </c>
      <c r="B24" s="202" t="s">
        <v>81</v>
      </c>
      <c r="C24" s="453" t="s">
        <v>16</v>
      </c>
      <c r="D24" s="202" t="s">
        <v>17</v>
      </c>
      <c r="E24" s="202" t="s">
        <v>6</v>
      </c>
      <c r="F24" s="202" t="s">
        <v>84</v>
      </c>
      <c r="G24" s="706" t="s">
        <v>565</v>
      </c>
      <c r="K24" s="42"/>
      <c r="L24" s="43"/>
      <c r="M24" s="42"/>
    </row>
    <row r="25" spans="1:18" x14ac:dyDescent="0.25">
      <c r="A25" s="707" t="s">
        <v>18</v>
      </c>
      <c r="B25" s="123" t="s">
        <v>19</v>
      </c>
      <c r="C25" s="125">
        <v>6</v>
      </c>
      <c r="D25" s="964" t="s">
        <v>20</v>
      </c>
      <c r="E25" s="454">
        <v>9.2499999999999999E-2</v>
      </c>
      <c r="F25" s="457">
        <v>9.2499999999999999E-2</v>
      </c>
      <c r="G25" s="898">
        <v>5108468</v>
      </c>
      <c r="K25" s="42"/>
      <c r="L25" s="43"/>
      <c r="M25" s="42"/>
    </row>
    <row r="26" spans="1:18" x14ac:dyDescent="0.25">
      <c r="A26" s="708" t="s">
        <v>21</v>
      </c>
      <c r="B26" s="124" t="s">
        <v>22</v>
      </c>
      <c r="C26" s="126">
        <v>9</v>
      </c>
      <c r="D26" s="965" t="s">
        <v>23</v>
      </c>
      <c r="E26" s="126">
        <v>0</v>
      </c>
      <c r="F26" s="709">
        <v>1.7600000000000001E-2</v>
      </c>
      <c r="G26" s="899">
        <v>733406</v>
      </c>
      <c r="K26" s="42"/>
      <c r="L26" s="43"/>
      <c r="M26" s="42"/>
    </row>
    <row r="27" spans="1:18" x14ac:dyDescent="0.25">
      <c r="A27" s="708" t="s">
        <v>24</v>
      </c>
      <c r="B27" s="124" t="s">
        <v>22</v>
      </c>
      <c r="C27" s="126">
        <v>8</v>
      </c>
      <c r="D27" s="965" t="s">
        <v>25</v>
      </c>
      <c r="E27" s="455">
        <v>8.4000000000000005E-2</v>
      </c>
      <c r="F27" s="709">
        <v>8.4000000000000005E-2</v>
      </c>
      <c r="G27" s="899">
        <v>7431344</v>
      </c>
      <c r="K27" s="42"/>
      <c r="L27" s="43"/>
      <c r="M27" s="42"/>
    </row>
    <row r="28" spans="1:18" x14ac:dyDescent="0.25">
      <c r="A28" s="708" t="s">
        <v>26</v>
      </c>
      <c r="B28" s="124" t="s">
        <v>19</v>
      </c>
      <c r="C28" s="126">
        <v>7</v>
      </c>
      <c r="D28" s="965" t="s">
        <v>27</v>
      </c>
      <c r="E28" s="455">
        <v>9.4700000000000006E-2</v>
      </c>
      <c r="F28" s="709">
        <v>9.4700000000000006E-2</v>
      </c>
      <c r="G28" s="899">
        <v>3067732</v>
      </c>
      <c r="K28" s="42"/>
      <c r="L28" s="43"/>
      <c r="M28" s="42"/>
    </row>
    <row r="29" spans="1:18" x14ac:dyDescent="0.25">
      <c r="A29" s="708" t="s">
        <v>28</v>
      </c>
      <c r="B29" s="124" t="s">
        <v>22</v>
      </c>
      <c r="C29" s="126">
        <v>9</v>
      </c>
      <c r="D29" s="965" t="s">
        <v>23</v>
      </c>
      <c r="E29" s="126">
        <v>0</v>
      </c>
      <c r="F29" s="709">
        <v>8.8200000000000001E-2</v>
      </c>
      <c r="G29" s="899">
        <v>38965193</v>
      </c>
      <c r="K29" s="42"/>
      <c r="L29" s="43"/>
      <c r="M29" s="42"/>
    </row>
    <row r="30" spans="1:18" x14ac:dyDescent="0.25">
      <c r="A30" s="708" t="s">
        <v>29</v>
      </c>
      <c r="B30" s="124" t="s">
        <v>22</v>
      </c>
      <c r="C30" s="126">
        <v>8</v>
      </c>
      <c r="D30" s="965" t="s">
        <v>25</v>
      </c>
      <c r="E30" s="126">
        <v>0</v>
      </c>
      <c r="F30" s="709">
        <v>7.7700000000000005E-2</v>
      </c>
      <c r="G30" s="899">
        <v>5877610</v>
      </c>
      <c r="K30" s="42"/>
      <c r="L30" s="43"/>
      <c r="M30" s="42"/>
    </row>
    <row r="31" spans="1:18" x14ac:dyDescent="0.25">
      <c r="A31" s="708" t="s">
        <v>30</v>
      </c>
      <c r="B31" s="124" t="s">
        <v>31</v>
      </c>
      <c r="C31" s="126">
        <v>1</v>
      </c>
      <c r="D31" s="965" t="s">
        <v>32</v>
      </c>
      <c r="E31" s="455">
        <v>6.3500000000000001E-2</v>
      </c>
      <c r="F31" s="709">
        <v>6.3500000000000001E-2</v>
      </c>
      <c r="G31" s="899">
        <v>3617176</v>
      </c>
      <c r="K31" s="42"/>
      <c r="L31" s="43"/>
      <c r="M31" s="42"/>
    </row>
    <row r="32" spans="1:18" x14ac:dyDescent="0.25">
      <c r="A32" s="708" t="s">
        <v>33</v>
      </c>
      <c r="B32" s="124" t="s">
        <v>31</v>
      </c>
      <c r="C32" s="126">
        <v>5</v>
      </c>
      <c r="D32" s="965" t="s">
        <v>34</v>
      </c>
      <c r="E32" s="126">
        <v>0</v>
      </c>
      <c r="F32" s="159">
        <v>0</v>
      </c>
      <c r="G32" s="899">
        <v>1031890</v>
      </c>
      <c r="K32" s="42"/>
      <c r="L32" s="43"/>
      <c r="M32" s="42"/>
    </row>
    <row r="33" spans="1:16" x14ac:dyDescent="0.25">
      <c r="A33" s="708" t="s">
        <v>133</v>
      </c>
      <c r="B33" s="124" t="s">
        <v>40</v>
      </c>
      <c r="C33" s="126">
        <v>5</v>
      </c>
      <c r="D33" s="965" t="s">
        <v>34</v>
      </c>
      <c r="E33" s="455">
        <v>7.0099999999999996E-2</v>
      </c>
      <c r="F33" s="709">
        <v>7.0099999999999996E-2</v>
      </c>
      <c r="G33" s="899">
        <v>678972</v>
      </c>
      <c r="L33" s="43"/>
      <c r="M33" s="42"/>
    </row>
    <row r="34" spans="1:16" x14ac:dyDescent="0.25">
      <c r="A34" s="708" t="s">
        <v>35</v>
      </c>
      <c r="B34" s="124" t="s">
        <v>19</v>
      </c>
      <c r="C34" s="126">
        <v>5</v>
      </c>
      <c r="D34" s="965" t="s">
        <v>34</v>
      </c>
      <c r="E34" s="126">
        <v>0</v>
      </c>
      <c r="F34" s="709">
        <v>7.3499999999999996E-2</v>
      </c>
      <c r="G34" s="899">
        <v>22610726</v>
      </c>
      <c r="K34" s="42"/>
      <c r="L34" s="43"/>
      <c r="M34" s="42"/>
    </row>
    <row r="35" spans="1:16" x14ac:dyDescent="0.25">
      <c r="A35" s="708" t="s">
        <v>36</v>
      </c>
      <c r="B35" s="124" t="s">
        <v>19</v>
      </c>
      <c r="C35" s="126">
        <v>5</v>
      </c>
      <c r="D35" s="965" t="s">
        <v>34</v>
      </c>
      <c r="E35" s="455">
        <v>4.4400000000000002E-2</v>
      </c>
      <c r="F35" s="709">
        <v>4.4400000000000002E-2</v>
      </c>
      <c r="G35" s="899">
        <v>11029227</v>
      </c>
      <c r="K35" s="42"/>
      <c r="L35" s="43"/>
      <c r="M35" s="42"/>
    </row>
    <row r="36" spans="1:16" x14ac:dyDescent="0.25">
      <c r="A36" s="708" t="s">
        <v>37</v>
      </c>
      <c r="B36" s="124" t="s">
        <v>22</v>
      </c>
      <c r="C36" s="126">
        <v>9</v>
      </c>
      <c r="D36" s="965" t="s">
        <v>23</v>
      </c>
      <c r="E36" s="126">
        <v>0</v>
      </c>
      <c r="F36" s="458">
        <v>0.06</v>
      </c>
      <c r="G36" s="899">
        <v>1435138</v>
      </c>
      <c r="K36" s="42"/>
      <c r="L36" s="43"/>
      <c r="M36" s="42"/>
    </row>
    <row r="37" spans="1:16" x14ac:dyDescent="0.25">
      <c r="A37" s="708" t="s">
        <v>38</v>
      </c>
      <c r="B37" s="124" t="s">
        <v>22</v>
      </c>
      <c r="C37" s="126">
        <v>8</v>
      </c>
      <c r="D37" s="965" t="s">
        <v>25</v>
      </c>
      <c r="E37" s="126">
        <v>0</v>
      </c>
      <c r="F37" s="709">
        <v>8.8200000000000001E-2</v>
      </c>
      <c r="G37" s="899">
        <v>1964726</v>
      </c>
      <c r="K37" s="42"/>
      <c r="L37" s="43"/>
      <c r="M37" s="42"/>
    </row>
    <row r="38" spans="1:16" x14ac:dyDescent="0.25">
      <c r="A38" s="708" t="s">
        <v>39</v>
      </c>
      <c r="B38" s="124" t="s">
        <v>40</v>
      </c>
      <c r="C38" s="126">
        <v>3</v>
      </c>
      <c r="D38" s="965" t="s">
        <v>41</v>
      </c>
      <c r="E38" s="126">
        <v>0</v>
      </c>
      <c r="F38" s="709">
        <v>7.0000000000000007E-2</v>
      </c>
      <c r="G38" s="899">
        <v>12549689</v>
      </c>
      <c r="K38" s="42"/>
      <c r="L38" s="43"/>
      <c r="M38" s="42"/>
    </row>
    <row r="39" spans="1:16" x14ac:dyDescent="0.25">
      <c r="A39" s="708" t="s">
        <v>42</v>
      </c>
      <c r="B39" s="124" t="s">
        <v>40</v>
      </c>
      <c r="C39" s="126">
        <v>3</v>
      </c>
      <c r="D39" s="965" t="s">
        <v>41</v>
      </c>
      <c r="E39" s="126">
        <v>0</v>
      </c>
      <c r="F39" s="709">
        <v>6.0299999999999999E-2</v>
      </c>
      <c r="G39" s="899">
        <v>6862199</v>
      </c>
      <c r="K39" s="42"/>
      <c r="L39" s="43"/>
      <c r="M39" s="42"/>
    </row>
    <row r="40" spans="1:16" x14ac:dyDescent="0.25">
      <c r="A40" s="708" t="s">
        <v>43</v>
      </c>
      <c r="B40" s="124" t="s">
        <v>40</v>
      </c>
      <c r="C40" s="126">
        <v>4</v>
      </c>
      <c r="D40" s="965" t="s">
        <v>44</v>
      </c>
      <c r="E40" s="455">
        <v>7.0000000000000007E-2</v>
      </c>
      <c r="F40" s="709">
        <v>7.0000000000000007E-2</v>
      </c>
      <c r="G40" s="899">
        <v>3207004</v>
      </c>
      <c r="K40" s="42"/>
      <c r="L40" s="43"/>
      <c r="M40" s="42"/>
    </row>
    <row r="41" spans="1:16" x14ac:dyDescent="0.25">
      <c r="A41" s="708" t="s">
        <v>45</v>
      </c>
      <c r="B41" s="124" t="s">
        <v>40</v>
      </c>
      <c r="C41" s="126">
        <v>4</v>
      </c>
      <c r="D41" s="965" t="s">
        <v>44</v>
      </c>
      <c r="E41" s="455">
        <v>8.6999999999999994E-2</v>
      </c>
      <c r="F41" s="709">
        <v>8.6999999999999994E-2</v>
      </c>
      <c r="G41" s="899">
        <v>2940546</v>
      </c>
      <c r="K41" s="42"/>
      <c r="L41" s="43"/>
      <c r="M41" s="42"/>
    </row>
    <row r="42" spans="1:16" x14ac:dyDescent="0.25">
      <c r="A42" s="708" t="s">
        <v>46</v>
      </c>
      <c r="B42" s="124" t="s">
        <v>19</v>
      </c>
      <c r="C42" s="126">
        <v>6</v>
      </c>
      <c r="D42" s="965" t="s">
        <v>20</v>
      </c>
      <c r="E42" s="456">
        <v>0.06</v>
      </c>
      <c r="F42" s="458">
        <v>0.06</v>
      </c>
      <c r="G42" s="899">
        <v>4526154</v>
      </c>
      <c r="K42" s="32"/>
      <c r="N42" s="42"/>
      <c r="O42" s="43"/>
      <c r="P42" s="42"/>
    </row>
    <row r="43" spans="1:16" x14ac:dyDescent="0.25">
      <c r="A43" s="708" t="s">
        <v>47</v>
      </c>
      <c r="B43" s="124" t="s">
        <v>19</v>
      </c>
      <c r="C43" s="126">
        <v>7</v>
      </c>
      <c r="D43" s="965" t="s">
        <v>27</v>
      </c>
      <c r="E43" s="455">
        <v>9.5500000000000002E-2</v>
      </c>
      <c r="F43" s="709">
        <v>9.5500000000000002E-2</v>
      </c>
      <c r="G43" s="899">
        <v>4573749</v>
      </c>
      <c r="K43" s="32"/>
      <c r="N43" s="42"/>
      <c r="O43" s="43"/>
      <c r="P43" s="42"/>
    </row>
    <row r="44" spans="1:16" x14ac:dyDescent="0.25">
      <c r="A44" s="708" t="s">
        <v>48</v>
      </c>
      <c r="B44" s="124" t="s">
        <v>31</v>
      </c>
      <c r="C44" s="126">
        <v>1</v>
      </c>
      <c r="D44" s="965" t="s">
        <v>32</v>
      </c>
      <c r="E44" s="126">
        <v>0</v>
      </c>
      <c r="F44" s="709">
        <v>5.5E-2</v>
      </c>
      <c r="G44" s="899">
        <v>1395722</v>
      </c>
      <c r="K44" s="32"/>
      <c r="N44" s="42"/>
      <c r="O44" s="43"/>
      <c r="P44" s="42"/>
    </row>
    <row r="45" spans="1:16" x14ac:dyDescent="0.25">
      <c r="A45" s="708" t="s">
        <v>49</v>
      </c>
      <c r="B45" s="124" t="s">
        <v>31</v>
      </c>
      <c r="C45" s="126">
        <v>5</v>
      </c>
      <c r="D45" s="965" t="s">
        <v>34</v>
      </c>
      <c r="E45" s="126">
        <v>0</v>
      </c>
      <c r="F45" s="709">
        <v>6.25E-2</v>
      </c>
      <c r="G45" s="899">
        <v>6180253</v>
      </c>
      <c r="K45" s="32"/>
      <c r="N45" s="42"/>
      <c r="O45" s="43"/>
      <c r="P45" s="42"/>
    </row>
    <row r="46" spans="1:16" x14ac:dyDescent="0.25">
      <c r="A46" s="708" t="s">
        <v>50</v>
      </c>
      <c r="B46" s="124" t="s">
        <v>31</v>
      </c>
      <c r="C46" s="126">
        <v>1</v>
      </c>
      <c r="D46" s="965" t="s">
        <v>32</v>
      </c>
      <c r="E46" s="126">
        <v>0</v>
      </c>
      <c r="F46" s="709">
        <v>0.06</v>
      </c>
      <c r="G46" s="899">
        <v>7001399</v>
      </c>
      <c r="K46" s="122"/>
      <c r="N46" s="42"/>
      <c r="O46" s="43"/>
      <c r="P46" s="42"/>
    </row>
    <row r="47" spans="1:16" x14ac:dyDescent="0.25">
      <c r="A47" s="708" t="s">
        <v>51</v>
      </c>
      <c r="B47" s="124" t="s">
        <v>40</v>
      </c>
      <c r="C47" s="126">
        <v>3</v>
      </c>
      <c r="D47" s="965" t="s">
        <v>41</v>
      </c>
      <c r="E47" s="455">
        <v>7.4899999999999994E-2</v>
      </c>
      <c r="F47" s="709">
        <v>7.4899999999999994E-2</v>
      </c>
      <c r="G47" s="899">
        <v>10037261</v>
      </c>
      <c r="N47" s="42"/>
      <c r="O47" s="43"/>
      <c r="P47" s="42"/>
    </row>
    <row r="48" spans="1:16" x14ac:dyDescent="0.25">
      <c r="A48" s="708" t="s">
        <v>52</v>
      </c>
      <c r="B48" s="124" t="s">
        <v>40</v>
      </c>
      <c r="C48" s="126">
        <v>4</v>
      </c>
      <c r="D48" s="965" t="s">
        <v>44</v>
      </c>
      <c r="E48" s="126">
        <v>0</v>
      </c>
      <c r="F48" s="709">
        <v>0.06</v>
      </c>
      <c r="G48" s="899">
        <v>5737915</v>
      </c>
      <c r="N48" s="42"/>
      <c r="O48" s="43"/>
      <c r="P48" s="42"/>
    </row>
    <row r="49" spans="1:7" x14ac:dyDescent="0.25">
      <c r="A49" s="708" t="s">
        <v>53</v>
      </c>
      <c r="B49" s="124" t="s">
        <v>19</v>
      </c>
      <c r="C49" s="126">
        <v>6</v>
      </c>
      <c r="D49" s="965" t="s">
        <v>20</v>
      </c>
      <c r="E49" s="455">
        <v>7.0699999999999999E-2</v>
      </c>
      <c r="F49" s="709">
        <v>7.0699999999999999E-2</v>
      </c>
      <c r="G49" s="899">
        <v>2939690</v>
      </c>
    </row>
    <row r="50" spans="1:7" x14ac:dyDescent="0.25">
      <c r="A50" s="708" t="s">
        <v>54</v>
      </c>
      <c r="B50" s="124" t="s">
        <v>40</v>
      </c>
      <c r="C50" s="126">
        <v>4</v>
      </c>
      <c r="D50" s="965" t="s">
        <v>44</v>
      </c>
      <c r="E50" s="455">
        <v>8.2900000000000001E-2</v>
      </c>
      <c r="F50" s="709">
        <v>8.2900000000000001E-2</v>
      </c>
      <c r="G50" s="899">
        <v>6196156</v>
      </c>
    </row>
    <row r="51" spans="1:7" x14ac:dyDescent="0.25">
      <c r="A51" s="708" t="s">
        <v>55</v>
      </c>
      <c r="B51" s="124" t="s">
        <v>22</v>
      </c>
      <c r="C51" s="126">
        <v>8</v>
      </c>
      <c r="D51" s="965" t="s">
        <v>25</v>
      </c>
      <c r="E51" s="455">
        <v>0</v>
      </c>
      <c r="F51" s="709">
        <v>0</v>
      </c>
      <c r="G51" s="899">
        <v>1132812</v>
      </c>
    </row>
    <row r="52" spans="1:7" x14ac:dyDescent="0.25">
      <c r="A52" s="708" t="s">
        <v>56</v>
      </c>
      <c r="B52" s="124" t="s">
        <v>40</v>
      </c>
      <c r="C52" s="126">
        <v>4</v>
      </c>
      <c r="D52" s="965" t="s">
        <v>44</v>
      </c>
      <c r="E52" s="455">
        <v>6.9400000000000003E-2</v>
      </c>
      <c r="F52" s="709">
        <v>6.9400000000000003E-2</v>
      </c>
      <c r="G52" s="899">
        <v>1978379</v>
      </c>
    </row>
    <row r="53" spans="1:7" x14ac:dyDescent="0.25">
      <c r="A53" s="708" t="s">
        <v>57</v>
      </c>
      <c r="B53" s="124" t="s">
        <v>22</v>
      </c>
      <c r="C53" s="126">
        <v>8</v>
      </c>
      <c r="D53" s="965" t="s">
        <v>25</v>
      </c>
      <c r="E53" s="455">
        <v>6.6000000000000003E-2</v>
      </c>
      <c r="F53" s="709">
        <v>6.6000000000000003E-2</v>
      </c>
      <c r="G53" s="899">
        <v>3194176</v>
      </c>
    </row>
    <row r="54" spans="1:7" ht="7.9" hidden="1" customHeight="1" x14ac:dyDescent="0.25">
      <c r="A54" s="708" t="s">
        <v>58</v>
      </c>
      <c r="B54" s="124" t="s">
        <v>31</v>
      </c>
      <c r="C54" s="126">
        <v>1</v>
      </c>
      <c r="D54" s="965" t="s">
        <v>32</v>
      </c>
      <c r="E54" s="126">
        <v>0</v>
      </c>
      <c r="F54" s="159">
        <v>0</v>
      </c>
      <c r="G54" s="899">
        <v>1402054</v>
      </c>
    </row>
    <row r="55" spans="1:7" hidden="1" x14ac:dyDescent="0.25">
      <c r="A55" s="708" t="s">
        <v>59</v>
      </c>
      <c r="B55" s="124" t="s">
        <v>31</v>
      </c>
      <c r="C55" s="126">
        <v>2</v>
      </c>
      <c r="D55" s="965" t="s">
        <v>60</v>
      </c>
      <c r="E55" s="455">
        <v>7.6300000000000007E-2</v>
      </c>
      <c r="F55" s="709">
        <v>7.6300000000000007E-2</v>
      </c>
      <c r="G55" s="899">
        <v>9290841</v>
      </c>
    </row>
    <row r="56" spans="1:7" x14ac:dyDescent="0.25">
      <c r="A56" s="708" t="s">
        <v>61</v>
      </c>
      <c r="B56" s="124" t="s">
        <v>22</v>
      </c>
      <c r="C56" s="126">
        <v>8</v>
      </c>
      <c r="D56" s="965" t="s">
        <v>25</v>
      </c>
      <c r="E56" s="126">
        <v>0</v>
      </c>
      <c r="F56" s="709">
        <v>8.5199999999999998E-2</v>
      </c>
      <c r="G56" s="899">
        <v>2114371</v>
      </c>
    </row>
    <row r="57" spans="1:7" x14ac:dyDescent="0.25">
      <c r="A57" s="708" t="s">
        <v>62</v>
      </c>
      <c r="B57" s="124" t="s">
        <v>31</v>
      </c>
      <c r="C57" s="126">
        <v>2</v>
      </c>
      <c r="D57" s="965" t="s">
        <v>60</v>
      </c>
      <c r="E57" s="126">
        <v>0</v>
      </c>
      <c r="F57" s="709">
        <v>6.9800000000000001E-2</v>
      </c>
      <c r="G57" s="899">
        <v>19571216</v>
      </c>
    </row>
    <row r="58" spans="1:7" x14ac:dyDescent="0.25">
      <c r="A58" s="708" t="s">
        <v>63</v>
      </c>
      <c r="B58" s="124" t="s">
        <v>19</v>
      </c>
      <c r="C58" s="126">
        <v>5</v>
      </c>
      <c r="D58" s="965" t="s">
        <v>34</v>
      </c>
      <c r="E58" s="126">
        <v>0</v>
      </c>
      <c r="F58" s="709">
        <v>6.6000000000000003E-2</v>
      </c>
      <c r="G58" s="899">
        <v>10835491</v>
      </c>
    </row>
    <row r="59" spans="1:7" x14ac:dyDescent="0.25">
      <c r="A59" s="708" t="s">
        <v>64</v>
      </c>
      <c r="B59" s="124" t="s">
        <v>40</v>
      </c>
      <c r="C59" s="126">
        <v>4</v>
      </c>
      <c r="D59" s="965" t="s">
        <v>44</v>
      </c>
      <c r="E59" s="126">
        <v>0</v>
      </c>
      <c r="F59" s="709">
        <v>7.22E-2</v>
      </c>
      <c r="G59" s="899">
        <v>783926</v>
      </c>
    </row>
    <row r="60" spans="1:7" x14ac:dyDescent="0.25">
      <c r="A60" s="708" t="s">
        <v>65</v>
      </c>
      <c r="B60" s="124" t="s">
        <v>40</v>
      </c>
      <c r="C60" s="126">
        <v>3</v>
      </c>
      <c r="D60" s="965" t="s">
        <v>41</v>
      </c>
      <c r="E60" s="455">
        <v>6.9599999999999995E-2</v>
      </c>
      <c r="F60" s="709">
        <v>6.9599999999999995E-2</v>
      </c>
      <c r="G60" s="899">
        <v>11785935</v>
      </c>
    </row>
    <row r="61" spans="1:7" x14ac:dyDescent="0.25">
      <c r="A61" s="708" t="s">
        <v>66</v>
      </c>
      <c r="B61" s="124" t="s">
        <v>19</v>
      </c>
      <c r="C61" s="126">
        <v>7</v>
      </c>
      <c r="D61" s="965" t="s">
        <v>27</v>
      </c>
      <c r="E61" s="455">
        <v>8.9800000000000005E-2</v>
      </c>
      <c r="F61" s="709">
        <v>8.9800000000000005E-2</v>
      </c>
      <c r="G61" s="899">
        <v>4053824</v>
      </c>
    </row>
    <row r="62" spans="1:7" x14ac:dyDescent="0.25">
      <c r="A62" s="708" t="s">
        <v>67</v>
      </c>
      <c r="B62" s="124" t="s">
        <v>22</v>
      </c>
      <c r="C62" s="126">
        <v>9</v>
      </c>
      <c r="D62" s="965" t="s">
        <v>23</v>
      </c>
      <c r="E62" s="126">
        <v>0</v>
      </c>
      <c r="F62" s="709">
        <v>6.3399999999999998E-2</v>
      </c>
      <c r="G62" s="899">
        <v>4233358</v>
      </c>
    </row>
    <row r="63" spans="1:7" x14ac:dyDescent="0.25">
      <c r="A63" s="708" t="s">
        <v>68</v>
      </c>
      <c r="B63" s="124" t="s">
        <v>31</v>
      </c>
      <c r="C63" s="126">
        <v>2</v>
      </c>
      <c r="D63" s="965" t="s">
        <v>60</v>
      </c>
      <c r="E63" s="455">
        <v>0</v>
      </c>
      <c r="F63" s="709">
        <v>0</v>
      </c>
      <c r="G63" s="899">
        <v>12961683</v>
      </c>
    </row>
    <row r="64" spans="1:7" x14ac:dyDescent="0.25">
      <c r="A64" s="708" t="s">
        <v>69</v>
      </c>
      <c r="B64" s="124" t="s">
        <v>31</v>
      </c>
      <c r="C64" s="126">
        <v>1</v>
      </c>
      <c r="D64" s="965" t="s">
        <v>32</v>
      </c>
      <c r="E64" s="455">
        <v>7.0000000000000007E-2</v>
      </c>
      <c r="F64" s="709">
        <v>7.0000000000000007E-2</v>
      </c>
      <c r="G64" s="899">
        <v>1095962</v>
      </c>
    </row>
    <row r="65" spans="1:20" x14ac:dyDescent="0.25">
      <c r="A65" s="708" t="s">
        <v>70</v>
      </c>
      <c r="B65" s="124" t="s">
        <v>19</v>
      </c>
      <c r="C65" s="126">
        <v>5</v>
      </c>
      <c r="D65" s="965" t="s">
        <v>34</v>
      </c>
      <c r="E65" s="455">
        <v>6.4000000000000001E-2</v>
      </c>
      <c r="F65" s="709">
        <v>6.4000000000000001E-2</v>
      </c>
      <c r="G65" s="899">
        <v>5373555</v>
      </c>
    </row>
    <row r="66" spans="1:20" x14ac:dyDescent="0.25">
      <c r="A66" s="708" t="s">
        <v>71</v>
      </c>
      <c r="B66" s="124" t="s">
        <v>19</v>
      </c>
      <c r="C66" s="126">
        <v>4</v>
      </c>
      <c r="D66" s="965" t="s">
        <v>44</v>
      </c>
      <c r="E66" s="455">
        <v>7.4399999999999994E-2</v>
      </c>
      <c r="F66" s="709">
        <v>7.4399999999999994E-2</v>
      </c>
      <c r="G66" s="899">
        <v>919318</v>
      </c>
    </row>
    <row r="67" spans="1:20" x14ac:dyDescent="0.25">
      <c r="A67" s="708" t="s">
        <v>72</v>
      </c>
      <c r="B67" s="124" t="s">
        <v>22</v>
      </c>
      <c r="C67" s="126">
        <v>6</v>
      </c>
      <c r="D67" s="965" t="s">
        <v>20</v>
      </c>
      <c r="E67" s="126">
        <v>0</v>
      </c>
      <c r="F67" s="709">
        <v>8.2000000000000003E-2</v>
      </c>
      <c r="G67" s="899">
        <v>7126489</v>
      </c>
    </row>
    <row r="68" spans="1:20" x14ac:dyDescent="0.25">
      <c r="A68" s="708" t="s">
        <v>73</v>
      </c>
      <c r="B68" s="124" t="s">
        <v>31</v>
      </c>
      <c r="C68" s="126">
        <v>7</v>
      </c>
      <c r="D68" s="965" t="s">
        <v>27</v>
      </c>
      <c r="E68" s="455">
        <v>9.5500000000000002E-2</v>
      </c>
      <c r="F68" s="709">
        <v>9.5500000000000002E-2</v>
      </c>
      <c r="G68" s="899">
        <v>30503301</v>
      </c>
    </row>
    <row r="69" spans="1:20" x14ac:dyDescent="0.25">
      <c r="A69" s="708" t="s">
        <v>74</v>
      </c>
      <c r="B69" s="124" t="s">
        <v>19</v>
      </c>
      <c r="C69" s="126">
        <v>8</v>
      </c>
      <c r="D69" s="965" t="s">
        <v>25</v>
      </c>
      <c r="E69" s="455">
        <v>7.1900000000000006E-2</v>
      </c>
      <c r="F69" s="709">
        <v>7.1900000000000006E-2</v>
      </c>
      <c r="G69" s="899">
        <v>3417734</v>
      </c>
    </row>
    <row r="70" spans="1:20" x14ac:dyDescent="0.25">
      <c r="A70" s="708" t="s">
        <v>75</v>
      </c>
      <c r="B70" s="124" t="s">
        <v>22</v>
      </c>
      <c r="C70" s="126">
        <v>1</v>
      </c>
      <c r="D70" s="965" t="s">
        <v>32</v>
      </c>
      <c r="E70" s="126">
        <v>0</v>
      </c>
      <c r="F70" s="709">
        <v>5.7500000000000002E-2</v>
      </c>
      <c r="G70" s="899">
        <v>647464</v>
      </c>
    </row>
    <row r="71" spans="1:20" ht="21.75" customHeight="1" x14ac:dyDescent="0.25">
      <c r="A71" s="708" t="s">
        <v>76</v>
      </c>
      <c r="B71" s="124" t="s">
        <v>31</v>
      </c>
      <c r="C71" s="126">
        <v>5</v>
      </c>
      <c r="D71" s="965" t="s">
        <v>34</v>
      </c>
      <c r="E71" s="126">
        <v>0</v>
      </c>
      <c r="F71" s="709">
        <v>6.2399999999999997E-2</v>
      </c>
      <c r="G71" s="899">
        <v>8715698</v>
      </c>
      <c r="T71" s="42"/>
    </row>
    <row r="72" spans="1:20" x14ac:dyDescent="0.25">
      <c r="A72" s="708" t="s">
        <v>77</v>
      </c>
      <c r="B72" s="124" t="s">
        <v>19</v>
      </c>
      <c r="C72" s="126">
        <v>9</v>
      </c>
      <c r="D72" s="965" t="s">
        <v>23</v>
      </c>
      <c r="E72" s="455">
        <v>9.2299999999999993E-2</v>
      </c>
      <c r="F72" s="709">
        <v>9.2299999999999993E-2</v>
      </c>
      <c r="G72" s="899">
        <v>7812880</v>
      </c>
      <c r="T72" s="42"/>
    </row>
    <row r="73" spans="1:20" x14ac:dyDescent="0.25">
      <c r="A73" s="708" t="s">
        <v>78</v>
      </c>
      <c r="B73" s="124" t="s">
        <v>22</v>
      </c>
      <c r="C73" s="126">
        <v>5</v>
      </c>
      <c r="D73" s="965" t="s">
        <v>34</v>
      </c>
      <c r="E73" s="455">
        <v>6.5000000000000002E-2</v>
      </c>
      <c r="F73" s="709">
        <v>6.5000000000000002E-2</v>
      </c>
      <c r="G73" s="899">
        <v>1770071</v>
      </c>
      <c r="T73" s="42"/>
    </row>
    <row r="74" spans="1:20" x14ac:dyDescent="0.25">
      <c r="A74" s="708" t="s">
        <v>79</v>
      </c>
      <c r="B74" s="124" t="s">
        <v>31</v>
      </c>
      <c r="C74" s="126">
        <v>3</v>
      </c>
      <c r="D74" s="965" t="s">
        <v>41</v>
      </c>
      <c r="E74" s="126">
        <v>0</v>
      </c>
      <c r="F74" s="709">
        <v>5.4300000000000001E-2</v>
      </c>
      <c r="G74" s="899">
        <v>5910955</v>
      </c>
      <c r="T74" s="42"/>
    </row>
    <row r="75" spans="1:20" ht="15.75" thickBot="1" x14ac:dyDescent="0.3">
      <c r="A75" s="710" t="s">
        <v>80</v>
      </c>
      <c r="B75" s="711" t="s">
        <v>40</v>
      </c>
      <c r="C75" s="712">
        <v>8</v>
      </c>
      <c r="D75" s="966" t="s">
        <v>25</v>
      </c>
      <c r="E75" s="713">
        <v>5.2200000000000003E-2</v>
      </c>
      <c r="F75" s="714">
        <v>5.2200000000000003E-2</v>
      </c>
      <c r="G75" s="900">
        <v>584057</v>
      </c>
      <c r="T75" s="42"/>
    </row>
  </sheetData>
  <autoFilter ref="A24:G24" xr:uid="{7787E8CA-8231-441D-A62F-FFA20601D4FD}">
    <sortState xmlns:xlrd2="http://schemas.microsoft.com/office/spreadsheetml/2017/richdata2" ref="A25:G75">
      <sortCondition ref="A24"/>
    </sortState>
  </autoFilter>
  <mergeCells count="9">
    <mergeCell ref="A23:G23"/>
    <mergeCell ref="K3:AJ3"/>
    <mergeCell ref="Q1:R1"/>
    <mergeCell ref="F6:H6"/>
    <mergeCell ref="B1:E1"/>
    <mergeCell ref="F1:H1"/>
    <mergeCell ref="J1:L1"/>
    <mergeCell ref="G20:H20"/>
    <mergeCell ref="A20:E20"/>
  </mergeCells>
  <hyperlinks>
    <hyperlink ref="K8" r:id="rId1" location=":~:text=In%20the%20majority%20of%20states,at%20the%20time%20of%20purchase." xr:uid="{B766DD20-6267-4B40-901A-F63F10230AF7}"/>
    <hyperlink ref="K9" r:id="rId2" xr:uid="{8BF822B7-37CD-45EE-87D2-FA93BB186F17}"/>
    <hyperlink ref="K10" r:id="rId3" xr:uid="{FC5E3876-041D-46B7-858E-B2BB67CF565D}"/>
    <hyperlink ref="K12" r:id="rId4" xr:uid="{5DF1DB1F-4489-4E4A-BBE3-4CE52A46796D}"/>
    <hyperlink ref="A22" r:id="rId5" xr:uid="{BD66553B-678B-4064-B263-575FEF7E99B5}"/>
    <hyperlink ref="K11" r:id="rId6" xr:uid="{57662EBA-4C03-4C65-BAE2-9A78E7BEF19D}"/>
    <hyperlink ref="A21" r:id="rId7" location="table " xr:uid="{496F400C-7BD9-482B-95EE-550C1FEA70F6}"/>
  </hyperlinks>
  <pageMargins left="0.7" right="0.7" top="0.75" bottom="0.75" header="0.3" footer="0.3"/>
  <pageSetup orientation="portrait" r:id="rId8"/>
  <drawing r:id="rId9"/>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1BCD6-37D5-4C38-9CF6-D8CE1B92E591}">
  <sheetPr codeName="Sheet17">
    <tabColor theme="0" tint="-0.249977111117893"/>
  </sheetPr>
  <dimension ref="A1:L50"/>
  <sheetViews>
    <sheetView zoomScale="85" zoomScaleNormal="85" workbookViewId="0">
      <selection sqref="A1:C1"/>
    </sheetView>
  </sheetViews>
  <sheetFormatPr defaultColWidth="39.140625" defaultRowHeight="15" x14ac:dyDescent="0.25"/>
  <cols>
    <col min="1" max="1" width="45.5703125" style="32" customWidth="1"/>
    <col min="2" max="2" width="6.140625" style="32" customWidth="1"/>
    <col min="3" max="3" width="48.5703125" style="32" customWidth="1"/>
    <col min="4" max="4" width="2.42578125" style="32" customWidth="1"/>
    <col min="5" max="5" width="2.28515625" style="32" customWidth="1"/>
    <col min="6" max="6" width="1.85546875" style="32" customWidth="1"/>
    <col min="7" max="7" width="2.140625" style="5" customWidth="1"/>
    <col min="8" max="16384" width="39.140625" style="32"/>
  </cols>
  <sheetData>
    <row r="1" spans="1:12" ht="49.5" customHeight="1" x14ac:dyDescent="0.25">
      <c r="A1" s="1264" t="s">
        <v>275</v>
      </c>
      <c r="B1" s="1264"/>
      <c r="C1" s="1264"/>
      <c r="H1" s="23" t="s">
        <v>1484</v>
      </c>
      <c r="J1" s="363" t="s">
        <v>516</v>
      </c>
      <c r="K1" s="362"/>
      <c r="L1" s="5"/>
    </row>
    <row r="3" spans="1:12" ht="30" customHeight="1" x14ac:dyDescent="0.25">
      <c r="A3" s="203" t="s">
        <v>1236</v>
      </c>
      <c r="B3" s="204"/>
      <c r="C3" s="203" t="s">
        <v>121</v>
      </c>
      <c r="D3" s="204"/>
      <c r="E3" s="204"/>
      <c r="F3" s="204"/>
      <c r="G3" s="205"/>
      <c r="H3" s="1342" t="s">
        <v>1237</v>
      </c>
      <c r="I3" s="1342"/>
    </row>
    <row r="4" spans="1:12" ht="233.25" customHeight="1" x14ac:dyDescent="0.25">
      <c r="A4" s="654" t="s">
        <v>264</v>
      </c>
      <c r="C4" s="654" t="s">
        <v>269</v>
      </c>
      <c r="H4" s="23" t="s">
        <v>944</v>
      </c>
      <c r="I4" s="23" t="s">
        <v>1285</v>
      </c>
      <c r="J4" s="648" t="s">
        <v>943</v>
      </c>
    </row>
    <row r="5" spans="1:12" x14ac:dyDescent="0.25">
      <c r="A5" s="33"/>
      <c r="C5" s="33"/>
      <c r="G5" s="32"/>
    </row>
    <row r="6" spans="1:12" ht="30" x14ac:dyDescent="0.25">
      <c r="A6" s="34" t="s">
        <v>106</v>
      </c>
      <c r="C6" s="34" t="s">
        <v>113</v>
      </c>
      <c r="G6" s="32"/>
      <c r="H6" s="1343" t="s">
        <v>1569</v>
      </c>
      <c r="I6" s="466" t="s">
        <v>1568</v>
      </c>
    </row>
    <row r="7" spans="1:12" ht="60" x14ac:dyDescent="0.25">
      <c r="A7" s="655" t="s">
        <v>513</v>
      </c>
      <c r="C7" s="33"/>
      <c r="G7" s="32"/>
      <c r="H7" s="1343"/>
      <c r="I7" s="648" t="s">
        <v>1567</v>
      </c>
    </row>
    <row r="8" spans="1:12" ht="120" x14ac:dyDescent="0.25">
      <c r="A8" s="33"/>
      <c r="C8" s="655" t="s">
        <v>270</v>
      </c>
      <c r="G8" s="32"/>
    </row>
    <row r="9" spans="1:12" ht="30" x14ac:dyDescent="0.25">
      <c r="A9" s="37" t="s">
        <v>265</v>
      </c>
      <c r="C9" s="656" t="s">
        <v>114</v>
      </c>
      <c r="G9" s="32"/>
    </row>
    <row r="10" spans="1:12" x14ac:dyDescent="0.25">
      <c r="A10" s="38" t="s">
        <v>556</v>
      </c>
      <c r="C10" s="33"/>
      <c r="G10" s="32"/>
    </row>
    <row r="11" spans="1:12" x14ac:dyDescent="0.25">
      <c r="A11" s="35"/>
      <c r="C11" s="34" t="s">
        <v>115</v>
      </c>
      <c r="G11" s="32"/>
    </row>
    <row r="12" spans="1:12" ht="59.25" x14ac:dyDescent="0.25">
      <c r="A12" s="37" t="s">
        <v>587</v>
      </c>
      <c r="C12" s="33"/>
      <c r="G12" s="32"/>
    </row>
    <row r="13" spans="1:12" ht="105" x14ac:dyDescent="0.25">
      <c r="A13" s="38" t="s">
        <v>107</v>
      </c>
      <c r="C13" s="655" t="s">
        <v>271</v>
      </c>
      <c r="G13" s="32"/>
    </row>
    <row r="14" spans="1:12" x14ac:dyDescent="0.25">
      <c r="A14" s="35"/>
      <c r="C14" s="36" t="s">
        <v>116</v>
      </c>
      <c r="G14" s="32"/>
    </row>
    <row r="15" spans="1:12" x14ac:dyDescent="0.25">
      <c r="A15" s="34" t="s">
        <v>108</v>
      </c>
      <c r="C15" s="33"/>
      <c r="G15" s="32"/>
    </row>
    <row r="16" spans="1:12" x14ac:dyDescent="0.25">
      <c r="A16" s="33"/>
      <c r="C16" s="34" t="s">
        <v>117</v>
      </c>
      <c r="G16" s="32"/>
    </row>
    <row r="17" spans="1:7" ht="60" x14ac:dyDescent="0.25">
      <c r="A17" s="655" t="s">
        <v>266</v>
      </c>
      <c r="C17" s="33"/>
      <c r="G17" s="32"/>
    </row>
    <row r="18" spans="1:7" ht="90" x14ac:dyDescent="0.25">
      <c r="A18" s="37" t="s">
        <v>170</v>
      </c>
      <c r="C18" s="655" t="s">
        <v>272</v>
      </c>
      <c r="G18" s="32"/>
    </row>
    <row r="19" spans="1:7" x14ac:dyDescent="0.25">
      <c r="A19" s="38" t="s">
        <v>107</v>
      </c>
      <c r="C19" s="36" t="s">
        <v>514</v>
      </c>
      <c r="G19" s="32"/>
    </row>
    <row r="20" spans="1:7" x14ac:dyDescent="0.25">
      <c r="A20" s="33"/>
      <c r="C20" s="33"/>
      <c r="G20" s="32"/>
    </row>
    <row r="21" spans="1:7" x14ac:dyDescent="0.25">
      <c r="A21" s="37" t="s">
        <v>109</v>
      </c>
      <c r="C21" s="34" t="s">
        <v>118</v>
      </c>
      <c r="G21" s="32"/>
    </row>
    <row r="22" spans="1:7" x14ac:dyDescent="0.25">
      <c r="A22" s="35" t="s">
        <v>110</v>
      </c>
      <c r="C22" s="33"/>
      <c r="G22" s="32"/>
    </row>
    <row r="23" spans="1:7" ht="90" x14ac:dyDescent="0.25">
      <c r="A23" s="38" t="s">
        <v>107</v>
      </c>
      <c r="C23" s="655" t="s">
        <v>273</v>
      </c>
      <c r="G23" s="32"/>
    </row>
    <row r="24" spans="1:7" ht="30" x14ac:dyDescent="0.25">
      <c r="A24" s="33"/>
      <c r="C24" s="36" t="s">
        <v>586</v>
      </c>
      <c r="G24" s="32"/>
    </row>
    <row r="25" spans="1:7" x14ac:dyDescent="0.25">
      <c r="A25" s="34" t="s">
        <v>111</v>
      </c>
      <c r="C25" s="33"/>
      <c r="G25" s="32"/>
    </row>
    <row r="26" spans="1:7" ht="75" x14ac:dyDescent="0.25">
      <c r="A26" s="655" t="s">
        <v>267</v>
      </c>
      <c r="C26" s="34" t="s">
        <v>119</v>
      </c>
      <c r="G26" s="32"/>
    </row>
    <row r="27" spans="1:7" x14ac:dyDescent="0.25">
      <c r="A27" s="36" t="s">
        <v>107</v>
      </c>
      <c r="C27" s="33"/>
      <c r="G27" s="32"/>
    </row>
    <row r="28" spans="1:7" ht="105" customHeight="1" x14ac:dyDescent="0.25">
      <c r="A28" s="33"/>
      <c r="C28" s="655" t="s">
        <v>274</v>
      </c>
      <c r="G28" s="32"/>
    </row>
    <row r="29" spans="1:7" x14ac:dyDescent="0.25">
      <c r="A29" s="34" t="s">
        <v>112</v>
      </c>
      <c r="C29" s="36" t="s">
        <v>120</v>
      </c>
      <c r="G29" s="32"/>
    </row>
    <row r="30" spans="1:7" ht="30" x14ac:dyDescent="0.25">
      <c r="A30" s="35"/>
      <c r="C30" s="36" t="s">
        <v>588</v>
      </c>
      <c r="G30" s="32"/>
    </row>
    <row r="31" spans="1:7" ht="60" x14ac:dyDescent="0.25">
      <c r="A31" s="37" t="s">
        <v>268</v>
      </c>
      <c r="C31" s="655" t="s">
        <v>1286</v>
      </c>
      <c r="G31" s="32"/>
    </row>
    <row r="32" spans="1:7" ht="30" x14ac:dyDescent="0.25">
      <c r="A32" s="35"/>
      <c r="C32" s="897" t="s">
        <v>1287</v>
      </c>
      <c r="G32" s="32"/>
    </row>
    <row r="33" spans="1:7" ht="60" x14ac:dyDescent="0.25">
      <c r="A33" s="372" t="s">
        <v>950</v>
      </c>
      <c r="G33" s="32"/>
    </row>
    <row r="34" spans="1:7" x14ac:dyDescent="0.25">
      <c r="G34" s="32"/>
    </row>
    <row r="35" spans="1:7" x14ac:dyDescent="0.25">
      <c r="G35" s="32"/>
    </row>
    <row r="36" spans="1:7" x14ac:dyDescent="0.25">
      <c r="G36" s="32"/>
    </row>
    <row r="37" spans="1:7" x14ac:dyDescent="0.25">
      <c r="G37" s="32"/>
    </row>
    <row r="38" spans="1:7" x14ac:dyDescent="0.25">
      <c r="G38" s="32"/>
    </row>
    <row r="39" spans="1:7" x14ac:dyDescent="0.25">
      <c r="G39" s="32"/>
    </row>
    <row r="40" spans="1:7" x14ac:dyDescent="0.25">
      <c r="G40" s="32"/>
    </row>
    <row r="41" spans="1:7" x14ac:dyDescent="0.25">
      <c r="G41" s="32"/>
    </row>
    <row r="42" spans="1:7" x14ac:dyDescent="0.25">
      <c r="G42" s="32"/>
    </row>
    <row r="43" spans="1:7" x14ac:dyDescent="0.25">
      <c r="G43" s="32"/>
    </row>
    <row r="44" spans="1:7" x14ac:dyDescent="0.25">
      <c r="G44" s="32"/>
    </row>
    <row r="45" spans="1:7" x14ac:dyDescent="0.25">
      <c r="G45" s="32"/>
    </row>
    <row r="46" spans="1:7" x14ac:dyDescent="0.25">
      <c r="G46" s="32"/>
    </row>
    <row r="47" spans="1:7" x14ac:dyDescent="0.25">
      <c r="G47" s="32"/>
    </row>
    <row r="48" spans="1:7" x14ac:dyDescent="0.25">
      <c r="G48" s="32"/>
    </row>
    <row r="49" spans="7:7" x14ac:dyDescent="0.25">
      <c r="G49" s="32"/>
    </row>
    <row r="50" spans="7:7" x14ac:dyDescent="0.25">
      <c r="G50" s="32"/>
    </row>
  </sheetData>
  <mergeCells count="3">
    <mergeCell ref="H3:I3"/>
    <mergeCell ref="A1:C1"/>
    <mergeCell ref="H6:H7"/>
  </mergeCells>
  <hyperlinks>
    <hyperlink ref="C9" r:id="rId1" display="https://www.climatepolicydashboard.org/policies/buildings-efficiency/appliance-standards" xr:uid="{A68476B6-6C68-4D03-A5B8-3D3E940FD744}"/>
    <hyperlink ref="C14" r:id="rId2" display="https://www.in.gov/oed/grants-and-funding-opportunities/homeowner-incentives/" xr:uid="{236F5ABE-2420-4397-9B3E-562BAC3EBAB4}"/>
    <hyperlink ref="C19" r:id="rId3" display="https://archinect.com/news/article/150404215/washington-state-effectively-bans-fossil-fueled-appliances-in-new-construction" xr:uid="{C53BFF2D-45B2-429D-8ECA-4519FFCF5409}"/>
    <hyperlink ref="C29" r:id="rId4" xr:uid="{3507688C-3F4D-4D3B-A312-0CD55A8A60C8}"/>
    <hyperlink ref="A27" r:id="rId5" display="https://www.irs.gov/credits-deductions/energy-efficient-home-improvement-credit" xr:uid="{E6FE807E-4825-4292-B749-904222DE88D9}"/>
    <hyperlink ref="A23" r:id="rId6" display="https://www.irs.gov/credits-deductions/residential-clean-energy-credit" xr:uid="{83380EBD-04CD-4157-BABA-A500B13A1534}"/>
    <hyperlink ref="A19" r:id="rId7" display="https://www.irs.gov/credits-deductions/residential-clean-energy-credit" xr:uid="{63F787CD-3692-4996-9C83-5F3317255CEA}"/>
    <hyperlink ref="A10" r:id="rId8" display="https://www.energystar.gov/about/federal-tax-credits/air-source-heat-pumps" xr:uid="{0A4F21F6-8A00-4A5A-9102-8D581B0564DC}"/>
    <hyperlink ref="A13" r:id="rId9" display="https://www.irs.gov/credits-deductions/energy-efficient-home-improvement-credit" xr:uid="{890F8B2C-B98D-40A3-B1A5-63BAA1BB1AEB}"/>
    <hyperlink ref="C24" r:id="rId10" xr:uid="{6719963C-D1EC-469E-A465-1222B138C6A0}"/>
    <hyperlink ref="C30" r:id="rId11" xr:uid="{4118AA3D-CA66-437E-A154-A24CAA8DF461}"/>
    <hyperlink ref="I7" r:id="rId12" xr:uid="{324F6B93-4036-4291-95B5-CDAE1611C7F0}"/>
    <hyperlink ref="J4" r:id="rId13" xr:uid="{51D4F804-CF52-42CC-ABF9-7976FFB1CD41}"/>
    <hyperlink ref="C32" r:id="rId14" xr:uid="{9EB7AAD7-058A-4ECB-AD05-43561DF1D213}"/>
    <hyperlink ref="I6" r:id="rId15" xr:uid="{380A27C7-6C8C-4B3A-8D63-A633722B281B}"/>
  </hyperlinks>
  <pageMargins left="0.7" right="0.7" top="0.75" bottom="0.75" header="0.3" footer="0.3"/>
  <pageSetup orientation="portrait" r:id="rId16"/>
  <drawing r:id="rId17"/>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E87E1-F2AB-495F-806D-8CA58979621D}">
  <sheetPr codeName="Sheet30">
    <tabColor theme="8" tint="-0.499984740745262"/>
  </sheetPr>
  <dimension ref="A1:X76"/>
  <sheetViews>
    <sheetView zoomScale="70" zoomScaleNormal="70" workbookViewId="0">
      <selection sqref="A1:B1"/>
    </sheetView>
  </sheetViews>
  <sheetFormatPr defaultColWidth="9.140625" defaultRowHeight="15" x14ac:dyDescent="0.25"/>
  <cols>
    <col min="1" max="1" width="24.5703125" style="25" customWidth="1"/>
    <col min="2" max="2" width="18.28515625" style="25" customWidth="1"/>
    <col min="3" max="3" width="25.28515625" style="25" customWidth="1"/>
    <col min="4" max="4" width="21" style="25" customWidth="1"/>
    <col min="5" max="5" width="22.5703125" style="25" customWidth="1"/>
    <col min="6" max="6" width="30.85546875" style="25" customWidth="1"/>
    <col min="7" max="7" width="21.28515625" style="25" customWidth="1"/>
    <col min="8" max="8" width="28.28515625" style="25" customWidth="1"/>
    <col min="9" max="9" width="25.85546875" style="25" customWidth="1"/>
    <col min="10" max="10" width="32" style="25" customWidth="1"/>
    <col min="11" max="11" width="34.140625" style="25" customWidth="1"/>
    <col min="12" max="12" width="29" style="25" customWidth="1"/>
    <col min="13" max="13" width="24.5703125" style="25" customWidth="1"/>
    <col min="14" max="14" width="21.85546875" style="25" customWidth="1"/>
    <col min="15" max="15" width="24.5703125" style="25" customWidth="1"/>
    <col min="16" max="16" width="29.5703125" style="25" customWidth="1"/>
    <col min="17" max="17" width="28.85546875" style="25" customWidth="1"/>
    <col min="18" max="18" width="16.7109375" style="25" customWidth="1"/>
    <col min="19" max="19" width="15.42578125" style="25" customWidth="1"/>
    <col min="20" max="20" width="14.7109375" style="25" customWidth="1"/>
    <col min="21" max="21" width="12.140625" style="25" customWidth="1"/>
    <col min="22" max="22" width="16.85546875" style="25" customWidth="1"/>
    <col min="23" max="24" width="14.28515625" style="25" customWidth="1"/>
    <col min="25" max="16384" width="9.140625" style="25"/>
  </cols>
  <sheetData>
    <row r="1" spans="1:14" ht="30" customHeight="1" x14ac:dyDescent="0.25">
      <c r="A1" s="1365" t="s">
        <v>451</v>
      </c>
      <c r="B1" s="1366"/>
      <c r="C1" s="551" t="s">
        <v>1486</v>
      </c>
      <c r="D1" s="529"/>
      <c r="E1" s="529"/>
      <c r="F1" s="529"/>
      <c r="G1" s="529"/>
    </row>
    <row r="2" spans="1:14" ht="62.25" customHeight="1" x14ac:dyDescent="0.25">
      <c r="A2" s="1367" t="s">
        <v>1400</v>
      </c>
      <c r="B2" s="1367"/>
      <c r="C2" s="1367"/>
      <c r="D2" s="1367"/>
      <c r="E2" s="1367"/>
      <c r="F2" s="1367"/>
      <c r="G2" s="1367"/>
      <c r="J2" s="363" t="s">
        <v>516</v>
      </c>
      <c r="K2" s="362"/>
    </row>
    <row r="3" spans="1:14" ht="115.5" customHeight="1" x14ac:dyDescent="0.25">
      <c r="A3" s="1367" t="s">
        <v>1607</v>
      </c>
      <c r="B3" s="1367"/>
      <c r="C3" s="1367"/>
      <c r="D3" s="1367"/>
      <c r="E3" s="1367"/>
      <c r="F3" s="1367"/>
      <c r="G3" s="1367"/>
    </row>
    <row r="4" spans="1:14" ht="15" customHeight="1" x14ac:dyDescent="0.25">
      <c r="B4" s="76"/>
      <c r="C4" s="76"/>
      <c r="D4" s="76"/>
      <c r="J4" s="657" t="s">
        <v>431</v>
      </c>
      <c r="K4" s="657" t="s">
        <v>436</v>
      </c>
      <c r="L4" s="657" t="s">
        <v>589</v>
      </c>
      <c r="M4" s="449" t="s">
        <v>1218</v>
      </c>
      <c r="N4" s="449" t="s">
        <v>1219</v>
      </c>
    </row>
    <row r="5" spans="1:14" ht="42" customHeight="1" thickBot="1" x14ac:dyDescent="0.3">
      <c r="A5" s="76"/>
      <c r="B5" s="271"/>
      <c r="C5" s="952"/>
      <c r="D5" s="952"/>
      <c r="J5" s="1093" t="s">
        <v>1612</v>
      </c>
      <c r="K5" s="1093" t="s">
        <v>1616</v>
      </c>
      <c r="L5" s="1093" t="s">
        <v>1234</v>
      </c>
      <c r="M5" s="1093" t="s">
        <v>1617</v>
      </c>
      <c r="N5" s="1093" t="s">
        <v>1234</v>
      </c>
    </row>
    <row r="6" spans="1:14" ht="22.5" x14ac:dyDescent="0.25">
      <c r="A6" s="1371" t="s">
        <v>454</v>
      </c>
      <c r="B6" s="1372"/>
      <c r="C6" s="1372"/>
      <c r="D6" s="1372"/>
      <c r="E6" s="1372"/>
      <c r="F6" s="1373"/>
      <c r="G6" s="1051"/>
      <c r="J6" s="1093"/>
      <c r="K6" s="1093"/>
      <c r="L6" s="1093"/>
      <c r="M6" s="1093"/>
      <c r="N6" s="1093"/>
    </row>
    <row r="7" spans="1:14" ht="71.45" customHeight="1" x14ac:dyDescent="0.25">
      <c r="A7" s="996" t="s">
        <v>519</v>
      </c>
      <c r="B7" s="990" t="s">
        <v>590</v>
      </c>
      <c r="C7" s="990" t="s">
        <v>432</v>
      </c>
      <c r="D7" s="990" t="s">
        <v>433</v>
      </c>
      <c r="E7" s="990" t="s">
        <v>434</v>
      </c>
      <c r="F7" s="997" t="s">
        <v>435</v>
      </c>
      <c r="J7" s="1093"/>
      <c r="K7" s="1093"/>
      <c r="L7" s="1093"/>
      <c r="M7" s="1093"/>
      <c r="N7" s="1093"/>
    </row>
    <row r="8" spans="1:14" ht="81" customHeight="1" x14ac:dyDescent="0.25">
      <c r="A8" s="1050"/>
      <c r="B8" s="992" t="s">
        <v>578</v>
      </c>
      <c r="C8" s="992" t="s">
        <v>579</v>
      </c>
      <c r="D8" s="992" t="s">
        <v>591</v>
      </c>
      <c r="E8" s="992" t="s">
        <v>1220</v>
      </c>
      <c r="F8" s="998" t="s">
        <v>1221</v>
      </c>
      <c r="H8" s="3"/>
      <c r="J8" s="81"/>
      <c r="K8" s="81"/>
      <c r="L8" s="81" t="s">
        <v>1614</v>
      </c>
      <c r="M8" s="648" t="s">
        <v>575</v>
      </c>
      <c r="N8" s="1093" t="s">
        <v>1618</v>
      </c>
    </row>
    <row r="9" spans="1:14" ht="45" x14ac:dyDescent="0.25">
      <c r="A9" s="999"/>
      <c r="B9" s="993">
        <v>2022</v>
      </c>
      <c r="C9" s="993">
        <v>2022</v>
      </c>
      <c r="D9" s="993">
        <v>2022</v>
      </c>
      <c r="E9" s="993">
        <v>2022</v>
      </c>
      <c r="F9" s="1000">
        <v>2022</v>
      </c>
      <c r="L9" s="475" t="s">
        <v>573</v>
      </c>
      <c r="M9" s="475" t="s">
        <v>1609</v>
      </c>
      <c r="N9" s="1093"/>
    </row>
    <row r="10" spans="1:14" ht="15" customHeight="1" x14ac:dyDescent="0.25">
      <c r="A10" s="967" t="s">
        <v>32</v>
      </c>
      <c r="B10" s="986">
        <f>$J$50*(1+K25)+J25</f>
        <v>0.66239123209896378</v>
      </c>
      <c r="C10" s="995">
        <f>$I$50*(1+K25)+J25</f>
        <v>0.91424612189688736</v>
      </c>
      <c r="D10" s="995">
        <f>$K$50</f>
        <v>0.24</v>
      </c>
      <c r="E10" s="1029">
        <f>0.68</f>
        <v>0.68</v>
      </c>
      <c r="F10" s="821">
        <f>$M$50</f>
        <v>0.37</v>
      </c>
      <c r="H10" s="272"/>
      <c r="L10" s="475" t="s">
        <v>574</v>
      </c>
      <c r="N10" s="1093"/>
    </row>
    <row r="11" spans="1:14" ht="19.5" customHeight="1" x14ac:dyDescent="0.25">
      <c r="A11" s="967" t="s">
        <v>60</v>
      </c>
      <c r="B11" s="986">
        <f t="shared" ref="B11:B19" si="0">$J$50*(1+K26)+J26</f>
        <v>0.63024594530667266</v>
      </c>
      <c r="C11" s="995">
        <f t="shared" ref="C11:C19" si="1">$I$50*(1+K26)+J26</f>
        <v>0.86996018262099717</v>
      </c>
      <c r="D11" s="995">
        <f>$K$50</f>
        <v>0.24</v>
      </c>
      <c r="E11" s="1029">
        <f t="shared" ref="E11:E13" si="2">0.68</f>
        <v>0.68</v>
      </c>
      <c r="F11" s="821">
        <f>$M$50</f>
        <v>0.37</v>
      </c>
      <c r="L11" s="1361" t="s">
        <v>1613</v>
      </c>
      <c r="N11" s="1362" t="s">
        <v>573</v>
      </c>
    </row>
    <row r="12" spans="1:14" x14ac:dyDescent="0.25">
      <c r="A12" s="967" t="s">
        <v>41</v>
      </c>
      <c r="B12" s="986">
        <f t="shared" si="0"/>
        <v>0.55852958971975764</v>
      </c>
      <c r="C12" s="995">
        <f t="shared" si="1"/>
        <v>0.80034654170577835</v>
      </c>
      <c r="D12" s="1054" t="s">
        <v>1157</v>
      </c>
      <c r="E12" s="1029">
        <f t="shared" si="2"/>
        <v>0.68</v>
      </c>
      <c r="F12" s="1055" t="s">
        <v>1157</v>
      </c>
      <c r="L12" s="1361"/>
      <c r="N12" s="1362"/>
    </row>
    <row r="13" spans="1:14" ht="23.45" customHeight="1" x14ac:dyDescent="0.25">
      <c r="A13" s="967" t="s">
        <v>44</v>
      </c>
      <c r="B13" s="986">
        <f t="shared" si="0"/>
        <v>0.59216086650404809</v>
      </c>
      <c r="C13" s="995">
        <f t="shared" si="1"/>
        <v>0.83754410899408771</v>
      </c>
      <c r="D13" s="1054" t="s">
        <v>1157</v>
      </c>
      <c r="E13" s="1029">
        <f t="shared" si="2"/>
        <v>0.68</v>
      </c>
      <c r="F13" s="1055" t="s">
        <v>1157</v>
      </c>
      <c r="L13" s="1361"/>
      <c r="N13" s="1362"/>
    </row>
    <row r="14" spans="1:14" ht="15" customHeight="1" x14ac:dyDescent="0.25">
      <c r="A14" s="967" t="s">
        <v>34</v>
      </c>
      <c r="B14" s="986">
        <f t="shared" si="0"/>
        <v>0.32670045400259889</v>
      </c>
      <c r="C14" s="995">
        <f t="shared" si="1"/>
        <v>0.49995547245249106</v>
      </c>
      <c r="D14" s="1054" t="s">
        <v>1157</v>
      </c>
      <c r="E14" s="1029">
        <f>0.6</f>
        <v>0.6</v>
      </c>
      <c r="F14" s="1055" t="s">
        <v>1157</v>
      </c>
    </row>
    <row r="15" spans="1:14" ht="15" customHeight="1" x14ac:dyDescent="0.25">
      <c r="A15" s="967" t="s">
        <v>20</v>
      </c>
      <c r="B15" s="986">
        <f t="shared" si="0"/>
        <v>0.2998580991811684</v>
      </c>
      <c r="C15" s="995">
        <f t="shared" si="1"/>
        <v>0.46644593205959534</v>
      </c>
      <c r="D15" s="1054" t="s">
        <v>1157</v>
      </c>
      <c r="E15" s="1029">
        <f t="shared" ref="E15:E16" si="3">0.6</f>
        <v>0.6</v>
      </c>
      <c r="F15" s="1055" t="s">
        <v>1157</v>
      </c>
    </row>
    <row r="16" spans="1:14" x14ac:dyDescent="0.25">
      <c r="A16" s="967" t="s">
        <v>27</v>
      </c>
      <c r="B16" s="986">
        <f t="shared" si="0"/>
        <v>0.22622967477650791</v>
      </c>
      <c r="C16" s="995">
        <f t="shared" si="1"/>
        <v>0.35191282743012348</v>
      </c>
      <c r="D16" s="1054" t="s">
        <v>1157</v>
      </c>
      <c r="E16" s="1029">
        <f t="shared" si="3"/>
        <v>0.6</v>
      </c>
      <c r="F16" s="1055" t="s">
        <v>1157</v>
      </c>
    </row>
    <row r="17" spans="1:24" ht="15" customHeight="1" x14ac:dyDescent="0.25">
      <c r="A17" s="967" t="s">
        <v>25</v>
      </c>
      <c r="B17" s="986">
        <f t="shared" si="0"/>
        <v>0.43358721942287654</v>
      </c>
      <c r="C17" s="995">
        <f t="shared" si="1"/>
        <v>0.62078459807926323</v>
      </c>
      <c r="D17" s="1054" t="s">
        <v>1157</v>
      </c>
      <c r="E17" s="1029">
        <f>0.68</f>
        <v>0.68</v>
      </c>
      <c r="F17" s="1055" t="s">
        <v>1157</v>
      </c>
    </row>
    <row r="18" spans="1:24" ht="15" customHeight="1" x14ac:dyDescent="0.25">
      <c r="A18" s="967" t="s">
        <v>23</v>
      </c>
      <c r="B18" s="986">
        <f t="shared" si="0"/>
        <v>0.32506404297247693</v>
      </c>
      <c r="C18" s="995">
        <f t="shared" si="1"/>
        <v>0.4964380602105799</v>
      </c>
      <c r="D18" s="1054" t="s">
        <v>1157</v>
      </c>
      <c r="E18" s="1029">
        <f>0.68</f>
        <v>0.68</v>
      </c>
      <c r="F18" s="1055" t="s">
        <v>1157</v>
      </c>
    </row>
    <row r="19" spans="1:24" ht="15" customHeight="1" thickBot="1" x14ac:dyDescent="0.3">
      <c r="A19" s="1053" t="s">
        <v>239</v>
      </c>
      <c r="B19" s="1056">
        <f t="shared" si="0"/>
        <v>0.44995633614983921</v>
      </c>
      <c r="C19" s="1001">
        <f t="shared" si="1"/>
        <v>0.64995633614983928</v>
      </c>
      <c r="D19" s="1001">
        <f>AVERAGE(D10:D11)</f>
        <v>0.24</v>
      </c>
      <c r="E19" s="1001">
        <f>0.64</f>
        <v>0.64</v>
      </c>
      <c r="F19" s="1040">
        <f>AVERAGE(F10:F11)</f>
        <v>0.37</v>
      </c>
    </row>
    <row r="20" spans="1:24" ht="15" customHeight="1" x14ac:dyDescent="0.25">
      <c r="A20" s="272" t="s">
        <v>1485</v>
      </c>
      <c r="B20" s="272"/>
      <c r="C20" s="272"/>
      <c r="D20" s="272"/>
      <c r="E20" s="272"/>
      <c r="J20" s="263"/>
      <c r="M20" s="263"/>
    </row>
    <row r="21" spans="1:24" ht="15" customHeight="1" x14ac:dyDescent="0.25">
      <c r="A21" s="1363" t="s">
        <v>1444</v>
      </c>
      <c r="B21" s="1363"/>
      <c r="C21" s="1363"/>
      <c r="D21" s="1363"/>
      <c r="E21" s="595"/>
      <c r="F21" s="595"/>
      <c r="N21" s="271" t="s">
        <v>437</v>
      </c>
    </row>
    <row r="22" spans="1:24" ht="15" customHeight="1" thickBot="1" x14ac:dyDescent="0.3">
      <c r="A22" s="1363"/>
      <c r="B22" s="1363"/>
      <c r="C22" s="1363"/>
      <c r="D22" s="1363"/>
      <c r="N22" s="463" t="s">
        <v>580</v>
      </c>
    </row>
    <row r="23" spans="1:24" ht="165.6" customHeight="1" x14ac:dyDescent="0.25">
      <c r="A23" s="1368" t="s">
        <v>1602</v>
      </c>
      <c r="B23" s="1369"/>
      <c r="C23" s="1369"/>
      <c r="D23" s="1369"/>
      <c r="E23" s="1369"/>
      <c r="F23" s="1370"/>
      <c r="G23" s="475" t="s">
        <v>592</v>
      </c>
      <c r="H23" s="1358" t="s">
        <v>1443</v>
      </c>
      <c r="I23" s="1359"/>
      <c r="J23" s="1359"/>
      <c r="K23" s="1359"/>
      <c r="L23" s="1360"/>
      <c r="N23" s="1355" t="s">
        <v>438</v>
      </c>
      <c r="O23" s="1356"/>
      <c r="P23" s="1356"/>
      <c r="Q23" s="1356"/>
      <c r="R23" s="1356"/>
      <c r="S23" s="1356"/>
      <c r="T23" s="1356"/>
      <c r="U23" s="1356"/>
      <c r="V23" s="1356"/>
      <c r="W23" s="1356"/>
      <c r="X23" s="1357"/>
    </row>
    <row r="24" spans="1:24" ht="68.25" customHeight="1" x14ac:dyDescent="0.25">
      <c r="A24" s="999" t="s">
        <v>15</v>
      </c>
      <c r="B24" s="984" t="s">
        <v>1601</v>
      </c>
      <c r="C24" s="993" t="s">
        <v>519</v>
      </c>
      <c r="D24" s="984" t="s">
        <v>1222</v>
      </c>
      <c r="E24" s="984" t="s">
        <v>1615</v>
      </c>
      <c r="F24" s="812" t="s">
        <v>1600</v>
      </c>
      <c r="H24" s="987" t="s">
        <v>519</v>
      </c>
      <c r="I24" s="983" t="s">
        <v>439</v>
      </c>
      <c r="J24" s="984" t="s">
        <v>1611</v>
      </c>
      <c r="K24" s="984" t="s">
        <v>1603</v>
      </c>
      <c r="L24" s="812" t="s">
        <v>1610</v>
      </c>
      <c r="N24" s="1007" t="s">
        <v>202</v>
      </c>
      <c r="O24" s="1002" t="s">
        <v>440</v>
      </c>
      <c r="P24" s="1002" t="s">
        <v>41</v>
      </c>
      <c r="Q24" s="1002" t="s">
        <v>20</v>
      </c>
      <c r="R24" s="1002" t="s">
        <v>60</v>
      </c>
      <c r="S24" s="1002" t="s">
        <v>25</v>
      </c>
      <c r="T24" s="1002" t="s">
        <v>32</v>
      </c>
      <c r="U24" s="1002" t="s">
        <v>23</v>
      </c>
      <c r="V24" s="1002" t="s">
        <v>34</v>
      </c>
      <c r="W24" s="1002" t="s">
        <v>44</v>
      </c>
      <c r="X24" s="1008" t="s">
        <v>27</v>
      </c>
    </row>
    <row r="25" spans="1:24" ht="85.9" customHeight="1" x14ac:dyDescent="0.25">
      <c r="A25" s="1030" t="s">
        <v>18</v>
      </c>
      <c r="B25" s="1026">
        <v>0.14000000000000001</v>
      </c>
      <c r="C25" s="985" t="s">
        <v>20</v>
      </c>
      <c r="D25" s="1027">
        <v>175980</v>
      </c>
      <c r="E25" s="1028">
        <v>0.14000000000000001</v>
      </c>
      <c r="F25" s="1031">
        <f>E25-B25</f>
        <v>0</v>
      </c>
      <c r="H25" s="967" t="s">
        <v>32</v>
      </c>
      <c r="I25" s="995" cm="1">
        <f t="array" ref="I25">SUMPRODUCT(($C$25:$C$75=H25) * $E$25:$E$75, $D$25:$D$75) / SUMIF($C$25:$C$75, H25, $D$25:$D$75)</f>
        <v>0.73276688049540395</v>
      </c>
      <c r="J25" s="1029" cm="1">
        <f t="array" ref="J25">SUMPRODUCT(($C$25:$C$75=H25) * $F$25:$F$75, $D$25:$D$75) / SUMIF($C$25:$C$75, H25, $D$25:$D$75)</f>
        <v>0.20905243046270131</v>
      </c>
      <c r="K25" s="1029">
        <f>I25-$I$34</f>
        <v>0.25927444898961793</v>
      </c>
      <c r="L25" s="1031">
        <f>$J$50*(1+J25)</f>
        <v>0.43525887496657245</v>
      </c>
      <c r="N25" s="1009"/>
      <c r="O25" s="1003" t="s">
        <v>1490</v>
      </c>
      <c r="P25" s="1004" t="s">
        <v>203</v>
      </c>
      <c r="Q25" s="991"/>
      <c r="R25" s="1004" t="s">
        <v>203</v>
      </c>
      <c r="S25" s="991"/>
      <c r="T25" s="1004" t="s">
        <v>203</v>
      </c>
      <c r="U25" s="991"/>
      <c r="V25" s="991"/>
      <c r="W25" s="991"/>
      <c r="X25" s="1010"/>
    </row>
    <row r="26" spans="1:24" x14ac:dyDescent="0.25">
      <c r="A26" s="1030" t="s">
        <v>21</v>
      </c>
      <c r="B26" s="1026">
        <v>0.54</v>
      </c>
      <c r="C26" s="985" t="s">
        <v>23</v>
      </c>
      <c r="D26" s="1027">
        <v>30416</v>
      </c>
      <c r="E26" s="1028">
        <v>0.63</v>
      </c>
      <c r="F26" s="1031">
        <f t="shared" ref="F26:F75" si="4">E26-B26</f>
        <v>8.9999999999999969E-2</v>
      </c>
      <c r="H26" s="967" t="s">
        <v>60</v>
      </c>
      <c r="I26" s="995" cm="1">
        <f t="array" ref="I26">SUMPRODUCT(($C$25:$C$75=H26) * $E$25:$E$75, $D$25:$D$75) / SUMIF($C$25:$C$75, H26, $D$25:$D$75)</f>
        <v>0.672063618077408</v>
      </c>
      <c r="J26" s="1029" cm="1">
        <f t="array" ref="J26">SUMPRODUCT(($C$25:$C$75=H26) * $F$25:$F$75, $D$25:$D$75) / SUMIF($C$25:$C$75, H26, $D$25:$D$75)</f>
        <v>0.19876031814088876</v>
      </c>
      <c r="K26" s="1029">
        <f t="shared" ref="K26:K34" si="5">I26-$I$34</f>
        <v>0.19857118657162198</v>
      </c>
      <c r="L26" s="1031">
        <f t="shared" ref="L26:L34" si="6">$J$50*(1+J26)</f>
        <v>0.43155371453071995</v>
      </c>
      <c r="N26" s="1011" t="s">
        <v>204</v>
      </c>
      <c r="O26" s="1005">
        <v>13.29</v>
      </c>
      <c r="P26" s="1005">
        <v>1.82</v>
      </c>
      <c r="Q26" s="1005">
        <v>1.1299999999999999</v>
      </c>
      <c r="R26" s="1005">
        <v>0.95</v>
      </c>
      <c r="S26" s="1005">
        <v>1.01</v>
      </c>
      <c r="T26" s="1005">
        <v>0.56999999999999995</v>
      </c>
      <c r="U26" s="1005">
        <v>1.67</v>
      </c>
      <c r="V26" s="1005">
        <v>3.24</v>
      </c>
      <c r="W26" s="1005">
        <v>0.83</v>
      </c>
      <c r="X26" s="1012">
        <v>2.06</v>
      </c>
    </row>
    <row r="27" spans="1:24" x14ac:dyDescent="0.25">
      <c r="A27" s="1030" t="s">
        <v>24</v>
      </c>
      <c r="B27" s="1026">
        <v>0.18</v>
      </c>
      <c r="C27" s="985" t="s">
        <v>25</v>
      </c>
      <c r="D27" s="1027">
        <v>382352</v>
      </c>
      <c r="E27" s="1028">
        <v>0.18</v>
      </c>
      <c r="F27" s="1031">
        <f t="shared" si="4"/>
        <v>0</v>
      </c>
      <c r="H27" s="967" t="s">
        <v>41</v>
      </c>
      <c r="I27" s="995" cm="1">
        <f t="array" ref="I27">SUMPRODUCT(($C$25:$C$75=H27) * $E$25:$E$75, $D$25:$D$75) / SUMIF($C$25:$C$75, H27, $D$25:$D$75)</f>
        <v>0.68257719143588902</v>
      </c>
      <c r="J27" s="1029" cm="1">
        <f t="array" ref="J27">SUMPRODUCT(($C$25:$C$75=H27) * $F$25:$F$75, $D$25:$D$75) / SUMIF($C$25:$C$75, H27, $D$25:$D$75)</f>
        <v>0.1232590761449205</v>
      </c>
      <c r="K27" s="1029">
        <f t="shared" si="5"/>
        <v>0.209084759930103</v>
      </c>
      <c r="L27" s="1031">
        <f t="shared" si="6"/>
        <v>0.40437326741217139</v>
      </c>
      <c r="N27" s="1011" t="s">
        <v>205</v>
      </c>
      <c r="O27" s="1005">
        <v>17.190000000000001</v>
      </c>
      <c r="P27" s="1005">
        <v>2.4500000000000002</v>
      </c>
      <c r="Q27" s="1005">
        <v>1.21</v>
      </c>
      <c r="R27" s="1005">
        <v>1.86</v>
      </c>
      <c r="S27" s="1005">
        <v>1.32</v>
      </c>
      <c r="T27" s="1005">
        <v>0.61</v>
      </c>
      <c r="U27" s="1005">
        <v>2.2999999999999998</v>
      </c>
      <c r="V27" s="1005">
        <v>3.87</v>
      </c>
      <c r="W27" s="1005">
        <v>0.93</v>
      </c>
      <c r="X27" s="1012">
        <v>2.63</v>
      </c>
    </row>
    <row r="28" spans="1:24" x14ac:dyDescent="0.25">
      <c r="A28" s="1030" t="s">
        <v>26</v>
      </c>
      <c r="B28" s="1026">
        <v>0.19</v>
      </c>
      <c r="C28" s="985" t="s">
        <v>27</v>
      </c>
      <c r="D28" s="1027">
        <v>167227</v>
      </c>
      <c r="E28" s="1028">
        <v>0.19</v>
      </c>
      <c r="F28" s="1031">
        <f t="shared" si="4"/>
        <v>0</v>
      </c>
      <c r="H28" s="967" t="s">
        <v>44</v>
      </c>
      <c r="I28" s="995" cm="1">
        <f t="array" ref="I28">SUMPRODUCT(($C$25:$C$75=H28) * $E$25:$E$75, $D$25:$D$75) / SUMIF($C$25:$C$75, H28, $D$25:$D$75)</f>
        <v>0.7004086439559839</v>
      </c>
      <c r="J28" s="1029" cm="1">
        <f t="array" ref="J28">SUMPRODUCT(($C$25:$C$75=H28) * $F$25:$F$75, $D$25:$D$75) / SUMIF($C$25:$C$75, H28, $D$25:$D$75)</f>
        <v>0.15047103002197681</v>
      </c>
      <c r="K28" s="1029">
        <f t="shared" si="5"/>
        <v>0.22691621245019788</v>
      </c>
      <c r="L28" s="1031">
        <f t="shared" si="6"/>
        <v>0.41416957080791167</v>
      </c>
      <c r="N28" s="1011" t="s">
        <v>206</v>
      </c>
      <c r="O28" s="1005">
        <v>26.77</v>
      </c>
      <c r="P28" s="1005">
        <v>4.22</v>
      </c>
      <c r="Q28" s="1005">
        <v>1.88</v>
      </c>
      <c r="R28" s="1005">
        <v>2.95</v>
      </c>
      <c r="S28" s="1005">
        <v>2.04</v>
      </c>
      <c r="T28" s="1005">
        <v>1.05</v>
      </c>
      <c r="U28" s="1005">
        <v>3.24</v>
      </c>
      <c r="V28" s="1005">
        <v>5.71</v>
      </c>
      <c r="W28" s="1005">
        <v>2.02</v>
      </c>
      <c r="X28" s="1012">
        <v>3.65</v>
      </c>
    </row>
    <row r="29" spans="1:24" x14ac:dyDescent="0.25">
      <c r="A29" s="1030" t="s">
        <v>28</v>
      </c>
      <c r="B29" s="1026">
        <v>0.26</v>
      </c>
      <c r="C29" s="985" t="s">
        <v>23</v>
      </c>
      <c r="D29" s="1027">
        <v>1894957</v>
      </c>
      <c r="E29" s="1028">
        <v>0.26</v>
      </c>
      <c r="F29" s="1031">
        <f t="shared" si="4"/>
        <v>0</v>
      </c>
      <c r="H29" s="967" t="s">
        <v>34</v>
      </c>
      <c r="I29" s="995" cm="1">
        <f t="array" ref="I29">SUMPRODUCT(($C$25:$C$75=H29) * $E$25:$E$75, $D$25:$D$75) / SUMIF($C$25:$C$75, H29, $D$25:$D$75)</f>
        <v>0.3397675237552466</v>
      </c>
      <c r="J29" s="1029" cm="1">
        <f t="array" ref="J29">SUMPRODUCT(($C$25:$C$75=H29) * $F$25:$F$75, $D$25:$D$75) / SUMIF($C$25:$C$75, H29, $D$25:$D$75)</f>
        <v>1.4841420792793041E-2</v>
      </c>
      <c r="K29" s="1029">
        <f t="shared" si="5"/>
        <v>-0.13372490775053941</v>
      </c>
      <c r="L29" s="1031">
        <f t="shared" si="6"/>
        <v>0.36534291148540543</v>
      </c>
      <c r="N29" s="1011" t="s">
        <v>207</v>
      </c>
      <c r="O29" s="1005">
        <v>22.29</v>
      </c>
      <c r="P29" s="1005">
        <v>3.68</v>
      </c>
      <c r="Q29" s="1005">
        <v>1.31</v>
      </c>
      <c r="R29" s="1005">
        <v>3.04</v>
      </c>
      <c r="S29" s="1005">
        <v>1.67</v>
      </c>
      <c r="T29" s="1005">
        <v>1.1299999999999999</v>
      </c>
      <c r="U29" s="1005">
        <v>2.91</v>
      </c>
      <c r="V29" s="1005">
        <v>4.07</v>
      </c>
      <c r="W29" s="1005">
        <v>1.92</v>
      </c>
      <c r="X29" s="1012">
        <v>2.56</v>
      </c>
    </row>
    <row r="30" spans="1:24" x14ac:dyDescent="0.25">
      <c r="A30" s="1030" t="s">
        <v>29</v>
      </c>
      <c r="B30" s="1026">
        <v>0.3</v>
      </c>
      <c r="C30" s="985" t="s">
        <v>25</v>
      </c>
      <c r="D30" s="1027">
        <v>366739</v>
      </c>
      <c r="E30" s="1028">
        <v>0.56000000000000005</v>
      </c>
      <c r="F30" s="1031">
        <f t="shared" si="4"/>
        <v>0.26000000000000006</v>
      </c>
      <c r="H30" s="967" t="s">
        <v>20</v>
      </c>
      <c r="I30" s="995" cm="1">
        <f t="array" ref="I30">SUMPRODUCT(($C$25:$C$75=H30) * $E$25:$E$75, $D$25:$D$75) / SUMIF($C$25:$C$75, H30, $D$25:$D$75)</f>
        <v>0.30643159589792052</v>
      </c>
      <c r="J30" s="1029" cm="1">
        <f t="array" ref="J30">SUMPRODUCT(($C$25:$C$75=H30) * $F$25:$F$75, $D$25:$D$75) / SUMIF($C$25:$C$75, H30, $D$25:$D$75)</f>
        <v>0</v>
      </c>
      <c r="K30" s="1029">
        <f t="shared" si="5"/>
        <v>-0.1670608356078655</v>
      </c>
      <c r="L30" s="1031">
        <f t="shared" si="6"/>
        <v>0.36</v>
      </c>
      <c r="N30" s="1011" t="s">
        <v>208</v>
      </c>
      <c r="O30" s="1005">
        <v>14.66</v>
      </c>
      <c r="P30" s="1005">
        <v>2.34</v>
      </c>
      <c r="Q30" s="1005">
        <v>0.83</v>
      </c>
      <c r="R30" s="1005">
        <v>2.14</v>
      </c>
      <c r="S30" s="1005">
        <v>1.1000000000000001</v>
      </c>
      <c r="T30" s="1005">
        <v>0.71</v>
      </c>
      <c r="U30" s="1005">
        <v>2.06</v>
      </c>
      <c r="V30" s="1005">
        <v>2.71</v>
      </c>
      <c r="W30" s="1005">
        <v>1.19</v>
      </c>
      <c r="X30" s="1012">
        <v>1.59</v>
      </c>
    </row>
    <row r="31" spans="1:24" x14ac:dyDescent="0.25">
      <c r="A31" s="1030" t="s">
        <v>30</v>
      </c>
      <c r="B31" s="1026">
        <v>0.56000000000000005</v>
      </c>
      <c r="C31" s="985" t="s">
        <v>32</v>
      </c>
      <c r="D31" s="1027">
        <v>158459</v>
      </c>
      <c r="E31" s="1028">
        <v>0.67</v>
      </c>
      <c r="F31" s="1031">
        <f t="shared" si="4"/>
        <v>0.10999999999999999</v>
      </c>
      <c r="H31" s="967" t="s">
        <v>27</v>
      </c>
      <c r="I31" s="995" cm="1">
        <f t="array" ref="I31">SUMPRODUCT(($C$25:$C$75=H31) * $E$25:$E$75, $D$25:$D$75) / SUMIF($C$25:$C$75, H31, $D$25:$D$75)</f>
        <v>0.10190819477386362</v>
      </c>
      <c r="J31" s="1029" cm="1">
        <f t="array" ref="J31">SUMPRODUCT(($C$25:$C$75=H31) * $F$25:$F$75, $D$25:$D$75) / SUMIF($C$25:$C$75, H31, $D$25:$D$75)</f>
        <v>0</v>
      </c>
      <c r="K31" s="1029">
        <f t="shared" si="5"/>
        <v>-0.37158423673192242</v>
      </c>
      <c r="L31" s="1031">
        <f t="shared" si="6"/>
        <v>0.36</v>
      </c>
      <c r="N31" s="1011" t="s">
        <v>209</v>
      </c>
      <c r="O31" s="1005">
        <v>23.54</v>
      </c>
      <c r="P31" s="1005">
        <v>3.94</v>
      </c>
      <c r="Q31" s="1005">
        <v>0.97</v>
      </c>
      <c r="R31" s="1005">
        <v>4.99</v>
      </c>
      <c r="S31" s="1005">
        <v>1.76</v>
      </c>
      <c r="T31" s="1005">
        <v>1.8</v>
      </c>
      <c r="U31" s="1005">
        <v>4.16</v>
      </c>
      <c r="V31" s="1005">
        <v>2.78</v>
      </c>
      <c r="W31" s="1005">
        <v>1.58</v>
      </c>
      <c r="X31" s="1012">
        <v>1.57</v>
      </c>
    </row>
    <row r="32" spans="1:24" ht="30" x14ac:dyDescent="0.25">
      <c r="A32" s="1030" t="s">
        <v>33</v>
      </c>
      <c r="B32" s="1026">
        <v>0.47</v>
      </c>
      <c r="C32" s="985" t="s">
        <v>34</v>
      </c>
      <c r="D32" s="1027">
        <v>60536</v>
      </c>
      <c r="E32" s="1028">
        <v>0.7</v>
      </c>
      <c r="F32" s="1031">
        <f t="shared" si="4"/>
        <v>0.22999999999999998</v>
      </c>
      <c r="H32" s="967" t="s">
        <v>25</v>
      </c>
      <c r="I32" s="995" cm="1">
        <f t="array" ref="I32">SUMPRODUCT(($C$25:$C$75=H32) * $E$25:$E$75, $D$25:$D$75) / SUMIF($C$25:$C$75, H32, $D$25:$D$75)</f>
        <v>0.40947932478771876</v>
      </c>
      <c r="J32" s="1029" cm="1">
        <f t="array" ref="J32">SUMPRODUCT(($C$25:$C$75=H32) * $F$25:$F$75, $D$25:$D$75) / SUMIF($C$25:$C$75, H32, $D$25:$D$75)</f>
        <v>9.6631937841380758E-2</v>
      </c>
      <c r="K32" s="1029">
        <f t="shared" si="5"/>
        <v>-6.4013106718067259E-2</v>
      </c>
      <c r="L32" s="1031">
        <f t="shared" si="6"/>
        <v>0.39478749762289705</v>
      </c>
      <c r="N32" s="1011" t="s">
        <v>210</v>
      </c>
      <c r="O32" s="1005">
        <v>5.79</v>
      </c>
      <c r="P32" s="1005"/>
      <c r="Q32" s="1005"/>
      <c r="R32" s="1005">
        <v>0.11</v>
      </c>
      <c r="S32" s="1005">
        <v>0.31</v>
      </c>
      <c r="T32" s="1005"/>
      <c r="U32" s="1005">
        <v>2.16</v>
      </c>
      <c r="V32" s="1005">
        <v>2.46</v>
      </c>
      <c r="W32" s="1005"/>
      <c r="X32" s="1012">
        <v>0.56000000000000005</v>
      </c>
    </row>
    <row r="33" spans="1:24" x14ac:dyDescent="0.25">
      <c r="A33" s="1030" t="s">
        <v>133</v>
      </c>
      <c r="B33" s="1026">
        <v>0.49</v>
      </c>
      <c r="C33" s="985" t="s">
        <v>34</v>
      </c>
      <c r="D33" s="1027">
        <v>23696</v>
      </c>
      <c r="E33" s="1028">
        <v>0.49</v>
      </c>
      <c r="F33" s="1031">
        <f t="shared" si="4"/>
        <v>0</v>
      </c>
      <c r="H33" s="967" t="s">
        <v>23</v>
      </c>
      <c r="I33" s="995" cm="1">
        <f t="array" ref="I33">SUMPRODUCT(($C$25:$C$75=H33) * $E$25:$E$75, $D$25:$D$75) / SUMIF($C$25:$C$75, H33, $D$25:$D$75)</f>
        <v>0.33036251769630071</v>
      </c>
      <c r="J33" s="1029" cm="1">
        <f t="array" ref="J33">SUMPRODUCT(($C$25:$C$75=H33) * $F$25:$F$75, $D$25:$D$75) / SUMIF($C$25:$C$75, H33, $D$25:$D$75)</f>
        <v>1.6590811943891618E-2</v>
      </c>
      <c r="K33" s="1029">
        <f t="shared" si="5"/>
        <v>-0.14312991380948531</v>
      </c>
      <c r="L33" s="1031">
        <f t="shared" si="6"/>
        <v>0.36597269229980095</v>
      </c>
      <c r="N33" s="1013" t="s">
        <v>128</v>
      </c>
      <c r="O33" s="1006">
        <f t="shared" ref="O33:W33" si="7">SUM(O26:O31)</f>
        <v>117.73999999999998</v>
      </c>
      <c r="P33" s="1006">
        <f t="shared" si="7"/>
        <v>18.45</v>
      </c>
      <c r="Q33" s="1006">
        <f t="shared" si="7"/>
        <v>7.3299999999999992</v>
      </c>
      <c r="R33" s="1006">
        <f t="shared" si="7"/>
        <v>15.930000000000001</v>
      </c>
      <c r="S33" s="1006">
        <f t="shared" si="7"/>
        <v>8.9</v>
      </c>
      <c r="T33" s="1006">
        <f t="shared" si="7"/>
        <v>5.87</v>
      </c>
      <c r="U33" s="1006">
        <f t="shared" si="7"/>
        <v>16.340000000000003</v>
      </c>
      <c r="V33" s="1006">
        <f t="shared" si="7"/>
        <v>22.380000000000003</v>
      </c>
      <c r="W33" s="1006">
        <f t="shared" si="7"/>
        <v>8.4700000000000006</v>
      </c>
      <c r="X33" s="1014">
        <f>SUM(X26:X31)</f>
        <v>14.06</v>
      </c>
    </row>
    <row r="34" spans="1:24" ht="15.75" thickBot="1" x14ac:dyDescent="0.3">
      <c r="A34" s="1030" t="s">
        <v>35</v>
      </c>
      <c r="B34" s="1026">
        <v>0.04</v>
      </c>
      <c r="C34" s="985" t="s">
        <v>34</v>
      </c>
      <c r="D34" s="1027">
        <v>142860</v>
      </c>
      <c r="E34" s="1028">
        <v>0.04</v>
      </c>
      <c r="F34" s="1031">
        <f t="shared" si="4"/>
        <v>0</v>
      </c>
      <c r="H34" s="1037" t="s">
        <v>239</v>
      </c>
      <c r="I34" s="1038">
        <f>SUMPRODUCT($E$25:$E$75, $D$25:$D$75)/SUM($D$25:$D$75)</f>
        <v>0.47349243150578602</v>
      </c>
      <c r="J34" s="1038">
        <f>AVERAGE(J25:J33)</f>
        <v>8.9956336149839208E-2</v>
      </c>
      <c r="K34" s="1039">
        <f t="shared" si="5"/>
        <v>0</v>
      </c>
      <c r="L34" s="1040">
        <f t="shared" si="6"/>
        <v>0.39238428101394213</v>
      </c>
      <c r="M34" s="275"/>
      <c r="N34" s="1013" t="s">
        <v>212</v>
      </c>
      <c r="O34" s="994">
        <f>SUM(O26:O30)/O33</f>
        <v>0.8000679463224053</v>
      </c>
      <c r="P34" s="994">
        <f t="shared" ref="P34:X34" si="8">SUM(P26:P30)/P33</f>
        <v>0.78644986449864496</v>
      </c>
      <c r="Q34" s="994">
        <f t="shared" si="8"/>
        <v>0.86766712141882674</v>
      </c>
      <c r="R34" s="994">
        <f t="shared" si="8"/>
        <v>0.68675455116133088</v>
      </c>
      <c r="S34" s="994">
        <f t="shared" si="8"/>
        <v>0.80224719101123598</v>
      </c>
      <c r="T34" s="994">
        <f t="shared" si="8"/>
        <v>0.69335604770017034</v>
      </c>
      <c r="U34" s="994">
        <f t="shared" si="8"/>
        <v>0.74541003671970618</v>
      </c>
      <c r="V34" s="994">
        <f t="shared" si="8"/>
        <v>0.87578194816800714</v>
      </c>
      <c r="W34" s="994">
        <f t="shared" si="8"/>
        <v>0.81345926800472257</v>
      </c>
      <c r="X34" s="1015">
        <f t="shared" si="8"/>
        <v>0.88833570412517782</v>
      </c>
    </row>
    <row r="35" spans="1:24" ht="15.75" thickBot="1" x14ac:dyDescent="0.3">
      <c r="A35" s="1030" t="s">
        <v>36</v>
      </c>
      <c r="B35" s="1026">
        <v>0.13</v>
      </c>
      <c r="C35" s="985" t="s">
        <v>34</v>
      </c>
      <c r="D35" s="1027">
        <v>622941</v>
      </c>
      <c r="E35" s="1028">
        <v>0.13</v>
      </c>
      <c r="F35" s="1031">
        <f t="shared" si="4"/>
        <v>0</v>
      </c>
      <c r="M35" s="275"/>
      <c r="N35" s="1016" t="s">
        <v>211</v>
      </c>
      <c r="O35" s="1017">
        <f t="shared" ref="O35:X35" si="9">SUM(O31/O33)</f>
        <v>0.19993205367759473</v>
      </c>
      <c r="P35" s="1017">
        <f t="shared" si="9"/>
        <v>0.21355013550135502</v>
      </c>
      <c r="Q35" s="1017">
        <f t="shared" si="9"/>
        <v>0.13233287858117326</v>
      </c>
      <c r="R35" s="1017">
        <f t="shared" si="9"/>
        <v>0.31324544883866917</v>
      </c>
      <c r="S35" s="1017">
        <f t="shared" si="9"/>
        <v>0.19775280898876405</v>
      </c>
      <c r="T35" s="1017">
        <f t="shared" si="9"/>
        <v>0.30664395229982966</v>
      </c>
      <c r="U35" s="1017">
        <f t="shared" si="9"/>
        <v>0.25458996328029371</v>
      </c>
      <c r="V35" s="1017">
        <f t="shared" si="9"/>
        <v>0.12421805183199283</v>
      </c>
      <c r="W35" s="1017">
        <f t="shared" si="9"/>
        <v>0.18654073199527743</v>
      </c>
      <c r="X35" s="1018">
        <f t="shared" si="9"/>
        <v>0.1116642958748222</v>
      </c>
    </row>
    <row r="36" spans="1:24" ht="15.75" thickBot="1" x14ac:dyDescent="0.3">
      <c r="A36" s="1030" t="s">
        <v>37</v>
      </c>
      <c r="B36" s="1026">
        <v>0.26</v>
      </c>
      <c r="C36" s="985" t="s">
        <v>23</v>
      </c>
      <c r="D36" s="1027">
        <v>3047</v>
      </c>
      <c r="E36" s="1028">
        <v>0.26</v>
      </c>
      <c r="F36" s="1031">
        <f t="shared" si="4"/>
        <v>0</v>
      </c>
      <c r="N36" s="272"/>
      <c r="O36" s="276"/>
      <c r="R36" s="3"/>
      <c r="S36" s="3"/>
      <c r="T36" s="3"/>
      <c r="U36" s="3"/>
      <c r="V36" s="3"/>
      <c r="W36" s="3"/>
      <c r="X36" s="3"/>
    </row>
    <row r="37" spans="1:24" ht="15" customHeight="1" x14ac:dyDescent="0.25">
      <c r="A37" s="1030" t="s">
        <v>38</v>
      </c>
      <c r="B37" s="1026">
        <v>0.49</v>
      </c>
      <c r="C37" s="985" t="s">
        <v>25</v>
      </c>
      <c r="D37" s="1027">
        <v>107285</v>
      </c>
      <c r="E37" s="1028">
        <v>0.66</v>
      </c>
      <c r="F37" s="1031">
        <f t="shared" si="4"/>
        <v>0.17000000000000004</v>
      </c>
      <c r="I37" s="1019"/>
      <c r="N37" s="1352" t="s">
        <v>441</v>
      </c>
      <c r="O37" s="1353"/>
      <c r="P37" s="1353"/>
      <c r="Q37" s="1354"/>
      <c r="R37" s="162"/>
      <c r="S37" s="162"/>
      <c r="T37" s="162"/>
      <c r="U37" s="162"/>
      <c r="V37" s="162"/>
      <c r="W37" s="162"/>
      <c r="X37" s="162"/>
    </row>
    <row r="38" spans="1:24" ht="14.45" customHeight="1" x14ac:dyDescent="0.25">
      <c r="A38" s="1030" t="s">
        <v>39</v>
      </c>
      <c r="B38" s="1026">
        <v>0.38</v>
      </c>
      <c r="C38" s="985" t="s">
        <v>41</v>
      </c>
      <c r="D38" s="1027">
        <v>917173</v>
      </c>
      <c r="E38" s="1028">
        <v>0.56999999999999995</v>
      </c>
      <c r="F38" s="1031">
        <f t="shared" si="4"/>
        <v>0.18999999999999995</v>
      </c>
      <c r="N38" s="1347" t="s">
        <v>1401</v>
      </c>
      <c r="O38" s="1348"/>
      <c r="P38" s="1348"/>
      <c r="Q38" s="1349"/>
      <c r="R38" s="464" t="s">
        <v>577</v>
      </c>
      <c r="S38" s="162"/>
      <c r="T38" s="162"/>
      <c r="U38" s="162"/>
      <c r="V38" s="162"/>
      <c r="W38" s="162"/>
      <c r="X38" s="162"/>
    </row>
    <row r="39" spans="1:24" ht="38.25" customHeight="1" x14ac:dyDescent="0.25">
      <c r="A39" s="1030" t="s">
        <v>42</v>
      </c>
      <c r="B39" s="1026">
        <v>0.52</v>
      </c>
      <c r="C39" s="985" t="s">
        <v>41</v>
      </c>
      <c r="D39" s="1027">
        <v>502203</v>
      </c>
      <c r="E39" s="1028">
        <v>0.65</v>
      </c>
      <c r="F39" s="1031">
        <f t="shared" si="4"/>
        <v>0.13</v>
      </c>
      <c r="N39" s="1350"/>
      <c r="O39" s="1343"/>
      <c r="P39" s="1343"/>
      <c r="Q39" s="1351"/>
      <c r="R39" s="728" t="s">
        <v>576</v>
      </c>
      <c r="S39" s="162"/>
      <c r="T39" s="162"/>
      <c r="U39" s="162"/>
      <c r="V39" s="162"/>
      <c r="W39" s="162"/>
      <c r="X39" s="162"/>
    </row>
    <row r="40" spans="1:24" ht="60.75" customHeight="1" x14ac:dyDescent="0.25">
      <c r="A40" s="1030" t="s">
        <v>43</v>
      </c>
      <c r="B40" s="1026">
        <v>0.85</v>
      </c>
      <c r="C40" s="985" t="s">
        <v>44</v>
      </c>
      <c r="D40" s="1027">
        <v>232902</v>
      </c>
      <c r="E40" s="1028">
        <v>0.9</v>
      </c>
      <c r="F40" s="1031">
        <f t="shared" si="4"/>
        <v>5.0000000000000044E-2</v>
      </c>
      <c r="N40" s="1041"/>
      <c r="O40" s="4" t="s">
        <v>1403</v>
      </c>
      <c r="P40" s="4" t="s">
        <v>1402</v>
      </c>
      <c r="Q40" s="1042" t="s">
        <v>1404</v>
      </c>
      <c r="R40" s="162"/>
      <c r="S40" s="162"/>
      <c r="T40" s="162"/>
      <c r="U40" s="162"/>
      <c r="V40" s="162"/>
      <c r="W40" s="162"/>
      <c r="X40" s="162"/>
    </row>
    <row r="41" spans="1:24" x14ac:dyDescent="0.25">
      <c r="A41" s="1030" t="s">
        <v>45</v>
      </c>
      <c r="B41" s="1026">
        <v>0.31</v>
      </c>
      <c r="C41" s="985" t="s">
        <v>44</v>
      </c>
      <c r="D41" s="1027">
        <v>223814</v>
      </c>
      <c r="E41" s="1028">
        <v>0.47</v>
      </c>
      <c r="F41" s="1031">
        <f t="shared" si="4"/>
        <v>0.15999999999999998</v>
      </c>
      <c r="N41" s="1043" t="s">
        <v>442</v>
      </c>
      <c r="O41" s="1044">
        <v>0.14000000000000001</v>
      </c>
      <c r="P41" s="1045">
        <v>0.52</v>
      </c>
      <c r="Q41" s="1046">
        <f>O41+P41</f>
        <v>0.66</v>
      </c>
      <c r="R41" s="162"/>
      <c r="S41" s="162"/>
      <c r="T41" s="162"/>
      <c r="U41" s="162"/>
      <c r="V41" s="162"/>
      <c r="W41" s="162"/>
      <c r="X41" s="162"/>
    </row>
    <row r="42" spans="1:24" ht="15.75" thickBot="1" x14ac:dyDescent="0.3">
      <c r="A42" s="1030" t="s">
        <v>46</v>
      </c>
      <c r="B42" s="1026">
        <v>0.59</v>
      </c>
      <c r="C42" s="985" t="s">
        <v>20</v>
      </c>
      <c r="D42" s="1027">
        <v>226524</v>
      </c>
      <c r="E42" s="1028">
        <v>0.59</v>
      </c>
      <c r="F42" s="1031">
        <f t="shared" si="4"/>
        <v>0</v>
      </c>
      <c r="N42" s="1047" t="s">
        <v>215</v>
      </c>
      <c r="O42" s="1048">
        <v>0.09</v>
      </c>
      <c r="P42" s="1048">
        <v>0.15</v>
      </c>
      <c r="Q42" s="1049">
        <f>O42+P42</f>
        <v>0.24</v>
      </c>
      <c r="R42" s="162"/>
      <c r="S42" s="162"/>
      <c r="T42" s="162"/>
      <c r="U42" s="162"/>
      <c r="V42" s="162"/>
      <c r="W42" s="162"/>
      <c r="X42" s="162"/>
    </row>
    <row r="43" spans="1:24" ht="22.5" x14ac:dyDescent="0.25">
      <c r="A43" s="1030" t="s">
        <v>47</v>
      </c>
      <c r="B43" s="1026">
        <v>7.0000000000000007E-2</v>
      </c>
      <c r="C43" s="985" t="s">
        <v>27</v>
      </c>
      <c r="D43" s="1027">
        <v>138768</v>
      </c>
      <c r="E43" s="1028">
        <v>7.0000000000000007E-2</v>
      </c>
      <c r="F43" s="1031">
        <f t="shared" si="4"/>
        <v>0</v>
      </c>
      <c r="P43" s="277"/>
      <c r="Q43" s="278"/>
      <c r="R43" s="162"/>
      <c r="S43" s="162"/>
      <c r="T43" s="162"/>
      <c r="U43" s="162"/>
      <c r="V43" s="162"/>
      <c r="W43" s="162"/>
      <c r="X43" s="162"/>
    </row>
    <row r="44" spans="1:24" x14ac:dyDescent="0.25">
      <c r="A44" s="1030" t="s">
        <v>48</v>
      </c>
      <c r="B44" s="1026">
        <v>0.48</v>
      </c>
      <c r="C44" s="985" t="s">
        <v>32</v>
      </c>
      <c r="D44" s="1027">
        <v>35210</v>
      </c>
      <c r="E44" s="1028">
        <v>0.73</v>
      </c>
      <c r="F44" s="1031">
        <f t="shared" si="4"/>
        <v>0.25</v>
      </c>
      <c r="O44" s="162"/>
      <c r="P44" s="162"/>
      <c r="Q44" s="162"/>
      <c r="R44" s="162"/>
      <c r="S44" s="162"/>
      <c r="T44" s="162"/>
      <c r="U44" s="162"/>
    </row>
    <row r="45" spans="1:24" x14ac:dyDescent="0.25">
      <c r="A45" s="1030" t="s">
        <v>49</v>
      </c>
      <c r="B45" s="1026">
        <v>0.44</v>
      </c>
      <c r="C45" s="985" t="s">
        <v>34</v>
      </c>
      <c r="D45" s="1027">
        <v>247685</v>
      </c>
      <c r="E45" s="1028">
        <v>0.44</v>
      </c>
      <c r="F45" s="1031">
        <f t="shared" si="4"/>
        <v>0</v>
      </c>
      <c r="O45" s="162"/>
      <c r="P45" s="162"/>
      <c r="Q45" s="162"/>
      <c r="R45" s="162"/>
      <c r="S45" s="162"/>
      <c r="T45" s="162"/>
      <c r="U45" s="162"/>
    </row>
    <row r="46" spans="1:24" ht="15.75" thickBot="1" x14ac:dyDescent="0.3">
      <c r="A46" s="1030" t="s">
        <v>50</v>
      </c>
      <c r="B46" s="1026">
        <v>0.56000000000000005</v>
      </c>
      <c r="C46" s="985" t="s">
        <v>32</v>
      </c>
      <c r="D46" s="1027">
        <v>314062</v>
      </c>
      <c r="E46" s="1028">
        <v>0.79</v>
      </c>
      <c r="F46" s="1031">
        <f t="shared" si="4"/>
        <v>0.22999999999999998</v>
      </c>
      <c r="H46" s="239" t="s">
        <v>1605</v>
      </c>
      <c r="K46" s="271" t="s">
        <v>213</v>
      </c>
      <c r="O46" s="162"/>
      <c r="P46" s="162"/>
      <c r="Q46" s="162"/>
      <c r="R46" s="162"/>
      <c r="S46" s="162"/>
      <c r="T46" s="162"/>
      <c r="U46" s="162"/>
    </row>
    <row r="47" spans="1:24" x14ac:dyDescent="0.25">
      <c r="A47" s="1030" t="s">
        <v>51</v>
      </c>
      <c r="B47" s="1026">
        <v>0.68</v>
      </c>
      <c r="C47" s="985" t="s">
        <v>41</v>
      </c>
      <c r="D47" s="1027">
        <v>825988</v>
      </c>
      <c r="E47" s="1028">
        <v>0.73</v>
      </c>
      <c r="F47" s="1031">
        <f t="shared" si="4"/>
        <v>4.9999999999999933E-2</v>
      </c>
      <c r="H47" s="1344" t="s">
        <v>1604</v>
      </c>
      <c r="I47" s="1345"/>
      <c r="J47" s="1345"/>
      <c r="K47" s="1345"/>
      <c r="L47" s="1345"/>
      <c r="M47" s="1345"/>
      <c r="N47" s="1346"/>
      <c r="O47" s="162"/>
      <c r="P47" s="162"/>
      <c r="Q47" s="162"/>
      <c r="R47" s="162"/>
      <c r="S47" s="162"/>
      <c r="T47" s="162"/>
      <c r="U47" s="162"/>
    </row>
    <row r="48" spans="1:24" ht="51" customHeight="1" x14ac:dyDescent="0.25">
      <c r="A48" s="1030" t="s">
        <v>52</v>
      </c>
      <c r="B48" s="1026">
        <v>0.65</v>
      </c>
      <c r="C48" s="985" t="s">
        <v>44</v>
      </c>
      <c r="D48" s="1027">
        <v>336553</v>
      </c>
      <c r="E48" s="1028">
        <v>0.81</v>
      </c>
      <c r="F48" s="1031">
        <f t="shared" si="4"/>
        <v>0.16000000000000003</v>
      </c>
      <c r="H48" s="469" t="s">
        <v>214</v>
      </c>
      <c r="I48" s="470" t="s">
        <v>443</v>
      </c>
      <c r="J48" s="470" t="s">
        <v>590</v>
      </c>
      <c r="K48" s="470" t="s">
        <v>433</v>
      </c>
      <c r="L48" s="470" t="s">
        <v>434</v>
      </c>
      <c r="M48" s="470" t="s">
        <v>444</v>
      </c>
      <c r="N48" s="274" t="s">
        <v>1608</v>
      </c>
      <c r="O48" s="162"/>
      <c r="P48" s="162"/>
      <c r="Q48" s="162"/>
      <c r="R48" s="162"/>
      <c r="S48" s="162"/>
      <c r="T48" s="162"/>
      <c r="U48" s="5"/>
    </row>
    <row r="49" spans="1:21" x14ac:dyDescent="0.25">
      <c r="A49" s="1030" t="s">
        <v>53</v>
      </c>
      <c r="B49" s="1026">
        <v>7.0000000000000007E-2</v>
      </c>
      <c r="C49" s="985" t="s">
        <v>20</v>
      </c>
      <c r="D49" s="1027">
        <v>120311</v>
      </c>
      <c r="E49" s="1028">
        <v>7.0000000000000007E-2</v>
      </c>
      <c r="F49" s="1031">
        <f t="shared" si="4"/>
        <v>0</v>
      </c>
      <c r="H49" s="418">
        <v>2023</v>
      </c>
      <c r="I49" s="988">
        <v>0.54</v>
      </c>
      <c r="J49" s="988">
        <v>0.4</v>
      </c>
      <c r="K49" s="988">
        <v>0.13</v>
      </c>
      <c r="L49" s="988">
        <v>0.53</v>
      </c>
      <c r="M49" s="988">
        <v>0.33</v>
      </c>
      <c r="N49" s="1021">
        <f>J49-J50</f>
        <v>4.0000000000000036E-2</v>
      </c>
      <c r="O49" s="162"/>
      <c r="P49" s="162"/>
      <c r="Q49" s="162"/>
      <c r="R49" s="162"/>
      <c r="S49" s="162"/>
      <c r="T49" s="162"/>
      <c r="U49" s="162"/>
    </row>
    <row r="50" spans="1:21" x14ac:dyDescent="0.25">
      <c r="A50" s="1030" t="s">
        <v>54</v>
      </c>
      <c r="B50" s="1026">
        <v>0.37</v>
      </c>
      <c r="C50" s="985" t="s">
        <v>44</v>
      </c>
      <c r="D50" s="1027">
        <v>287067</v>
      </c>
      <c r="E50" s="1028">
        <v>0.56999999999999995</v>
      </c>
      <c r="F50" s="1031">
        <f t="shared" si="4"/>
        <v>0.19999999999999996</v>
      </c>
      <c r="H50" s="418">
        <v>2022</v>
      </c>
      <c r="I50" s="1022">
        <v>0.56000000000000005</v>
      </c>
      <c r="J50" s="1022">
        <v>0.36</v>
      </c>
      <c r="K50" s="1022">
        <v>0.24</v>
      </c>
      <c r="L50" s="1022">
        <v>0.64</v>
      </c>
      <c r="M50" s="1022">
        <v>0.37</v>
      </c>
      <c r="N50" s="1023">
        <f t="shared" ref="N50:N67" si="10">J50-J51</f>
        <v>-4.9999999999999989E-2</v>
      </c>
      <c r="O50" s="162"/>
      <c r="P50" s="162"/>
      <c r="Q50" s="162"/>
      <c r="R50" s="162"/>
      <c r="S50" s="162"/>
      <c r="T50" s="162"/>
      <c r="U50" s="162"/>
    </row>
    <row r="51" spans="1:21" ht="18" customHeight="1" x14ac:dyDescent="0.25">
      <c r="A51" s="1030" t="s">
        <v>55</v>
      </c>
      <c r="B51" s="1026">
        <v>0.53</v>
      </c>
      <c r="C51" s="985" t="s">
        <v>25</v>
      </c>
      <c r="D51" s="1027">
        <v>74722</v>
      </c>
      <c r="E51" s="1028">
        <v>0.65</v>
      </c>
      <c r="F51" s="1031">
        <f t="shared" si="4"/>
        <v>0.12</v>
      </c>
      <c r="H51" s="418">
        <v>2021</v>
      </c>
      <c r="I51" s="988">
        <v>0.5</v>
      </c>
      <c r="J51" s="988">
        <v>0.41</v>
      </c>
      <c r="K51" s="988">
        <v>0.22</v>
      </c>
      <c r="L51" s="988">
        <v>0.69</v>
      </c>
      <c r="M51" s="988">
        <v>0.49</v>
      </c>
      <c r="N51" s="1021">
        <f t="shared" si="10"/>
        <v>9.9999999999999534E-3</v>
      </c>
      <c r="O51" s="162"/>
      <c r="P51" s="279"/>
      <c r="Q51" s="162"/>
      <c r="R51" s="162"/>
      <c r="S51" s="162"/>
      <c r="T51" s="162"/>
      <c r="U51" s="162"/>
    </row>
    <row r="52" spans="1:21" x14ac:dyDescent="0.25">
      <c r="A52" s="1030" t="s">
        <v>56</v>
      </c>
      <c r="B52" s="1026">
        <v>0.5</v>
      </c>
      <c r="C52" s="985" t="s">
        <v>44</v>
      </c>
      <c r="D52" s="1027">
        <v>102146</v>
      </c>
      <c r="E52" s="1028">
        <v>0.65</v>
      </c>
      <c r="F52" s="1031">
        <f t="shared" si="4"/>
        <v>0.15000000000000002</v>
      </c>
      <c r="H52" s="418">
        <v>2020</v>
      </c>
      <c r="I52" s="988">
        <v>0.47</v>
      </c>
      <c r="J52" s="988">
        <v>0.4</v>
      </c>
      <c r="K52" s="988">
        <v>0.21</v>
      </c>
      <c r="L52" s="988">
        <v>0.56999999999999995</v>
      </c>
      <c r="M52" s="988">
        <v>0.77</v>
      </c>
      <c r="N52" s="1021">
        <f t="shared" si="10"/>
        <v>0.10000000000000003</v>
      </c>
      <c r="O52" s="162"/>
      <c r="P52" s="162"/>
      <c r="Q52" s="162"/>
      <c r="R52" s="162"/>
      <c r="S52" s="162"/>
      <c r="T52" s="162"/>
      <c r="U52" s="162"/>
    </row>
    <row r="53" spans="1:21" x14ac:dyDescent="0.25">
      <c r="A53" s="1030" t="s">
        <v>57</v>
      </c>
      <c r="B53" s="1026">
        <v>0.09</v>
      </c>
      <c r="C53" s="985" t="s">
        <v>25</v>
      </c>
      <c r="D53" s="1027">
        <v>142666</v>
      </c>
      <c r="E53" s="1028">
        <v>0.09</v>
      </c>
      <c r="F53" s="1031">
        <f t="shared" si="4"/>
        <v>0</v>
      </c>
      <c r="H53" s="418">
        <v>2019</v>
      </c>
      <c r="I53" s="988">
        <v>0.45</v>
      </c>
      <c r="J53" s="988">
        <v>0.3</v>
      </c>
      <c r="K53" s="988">
        <v>0.22</v>
      </c>
      <c r="L53" s="988">
        <v>0.56000000000000005</v>
      </c>
      <c r="M53" s="988">
        <v>0.72</v>
      </c>
      <c r="N53" s="1021">
        <f t="shared" si="10"/>
        <v>3.999999999999998E-2</v>
      </c>
      <c r="O53" s="162"/>
      <c r="P53" s="162"/>
      <c r="Q53" s="162"/>
      <c r="R53" s="162"/>
      <c r="S53" s="162"/>
      <c r="T53" s="162"/>
      <c r="U53" s="162"/>
    </row>
    <row r="54" spans="1:21" x14ac:dyDescent="0.25">
      <c r="A54" s="1030" t="s">
        <v>58</v>
      </c>
      <c r="B54" s="1026">
        <v>0.48</v>
      </c>
      <c r="C54" s="985" t="s">
        <v>32</v>
      </c>
      <c r="D54" s="1027">
        <v>45876</v>
      </c>
      <c r="E54" s="1028">
        <v>0.73</v>
      </c>
      <c r="F54" s="1031">
        <f t="shared" si="4"/>
        <v>0.25</v>
      </c>
      <c r="H54" s="418">
        <v>2018</v>
      </c>
      <c r="I54" s="988">
        <v>0.46</v>
      </c>
      <c r="J54" s="988">
        <v>0.26</v>
      </c>
      <c r="K54" s="988">
        <v>0.21</v>
      </c>
      <c r="L54" s="988">
        <v>0.53</v>
      </c>
      <c r="M54" s="988">
        <v>0.53</v>
      </c>
      <c r="N54" s="1021">
        <f t="shared" si="10"/>
        <v>-1.0000000000000009E-2</v>
      </c>
      <c r="O54" s="162"/>
      <c r="P54" s="162"/>
      <c r="Q54" s="162"/>
      <c r="R54" s="162"/>
      <c r="S54" s="162"/>
      <c r="T54" s="162"/>
      <c r="U54" s="162"/>
    </row>
    <row r="55" spans="1:21" x14ac:dyDescent="0.25">
      <c r="A55" s="1030" t="s">
        <v>59</v>
      </c>
      <c r="B55" s="1026">
        <v>0.39</v>
      </c>
      <c r="C55" s="985" t="s">
        <v>60</v>
      </c>
      <c r="D55" s="1027">
        <v>444232</v>
      </c>
      <c r="E55" s="1028">
        <v>0.59</v>
      </c>
      <c r="F55" s="1031">
        <f t="shared" si="4"/>
        <v>0.19999999999999996</v>
      </c>
      <c r="H55" s="418">
        <v>2017</v>
      </c>
      <c r="I55" s="988">
        <v>0.24</v>
      </c>
      <c r="J55" s="988">
        <v>0.27</v>
      </c>
      <c r="K55" s="988">
        <v>0.19</v>
      </c>
      <c r="L55" s="988">
        <v>0.45</v>
      </c>
      <c r="M55" s="988">
        <v>0.36</v>
      </c>
      <c r="N55" s="1021">
        <f t="shared" si="10"/>
        <v>2.0000000000000018E-2</v>
      </c>
      <c r="O55" s="162"/>
      <c r="P55" s="162"/>
      <c r="Q55" s="162"/>
      <c r="R55" s="162"/>
      <c r="S55" s="162"/>
      <c r="T55" s="162"/>
      <c r="U55" s="162"/>
    </row>
    <row r="56" spans="1:21" x14ac:dyDescent="0.25">
      <c r="A56" s="1030" t="s">
        <v>61</v>
      </c>
      <c r="B56" s="1026">
        <v>0.22</v>
      </c>
      <c r="C56" s="985" t="s">
        <v>25</v>
      </c>
      <c r="D56" s="1027">
        <v>143408</v>
      </c>
      <c r="E56" s="1028">
        <v>0.22</v>
      </c>
      <c r="F56" s="1031">
        <f t="shared" si="4"/>
        <v>0</v>
      </c>
      <c r="H56" s="418">
        <v>2016</v>
      </c>
      <c r="I56" s="988">
        <v>0.35</v>
      </c>
      <c r="J56" s="988">
        <v>0.25</v>
      </c>
      <c r="K56" s="988">
        <v>0.18</v>
      </c>
      <c r="L56" s="988">
        <v>0.45</v>
      </c>
      <c r="M56" s="988">
        <v>0.31</v>
      </c>
      <c r="N56" s="1021">
        <f t="shared" si="10"/>
        <v>-1.0000000000000009E-2</v>
      </c>
      <c r="O56" s="162"/>
      <c r="P56" s="162"/>
      <c r="Q56" s="162"/>
      <c r="R56" s="162"/>
      <c r="S56" s="162"/>
      <c r="T56" s="162"/>
      <c r="U56" s="162"/>
    </row>
    <row r="57" spans="1:21" x14ac:dyDescent="0.25">
      <c r="A57" s="1030" t="s">
        <v>62</v>
      </c>
      <c r="B57" s="1026">
        <v>0.51</v>
      </c>
      <c r="C57" s="985" t="s">
        <v>60</v>
      </c>
      <c r="D57" s="1027">
        <v>890685</v>
      </c>
      <c r="E57" s="1028">
        <v>0.7</v>
      </c>
      <c r="F57" s="1031">
        <f t="shared" si="4"/>
        <v>0.18999999999999995</v>
      </c>
      <c r="H57" s="418">
        <v>2015</v>
      </c>
      <c r="I57" s="1022">
        <v>0.17</v>
      </c>
      <c r="J57" s="1022">
        <v>0.26</v>
      </c>
      <c r="K57" s="1022">
        <v>0.19</v>
      </c>
      <c r="L57" s="1022">
        <v>0.45</v>
      </c>
      <c r="M57" s="1022">
        <v>0.45</v>
      </c>
      <c r="N57" s="1023">
        <f t="shared" si="10"/>
        <v>2.0000000000000018E-2</v>
      </c>
      <c r="O57" s="162"/>
      <c r="P57" s="162"/>
      <c r="Q57" s="162"/>
      <c r="R57" s="162"/>
      <c r="S57" s="162"/>
      <c r="T57" s="162"/>
      <c r="U57" s="162"/>
    </row>
    <row r="58" spans="1:21" x14ac:dyDescent="0.25">
      <c r="A58" s="1030" t="s">
        <v>63</v>
      </c>
      <c r="B58" s="1026">
        <v>0.6</v>
      </c>
      <c r="C58" s="985" t="s">
        <v>34</v>
      </c>
      <c r="D58" s="1027">
        <v>333107</v>
      </c>
      <c r="E58" s="1028">
        <v>0.6</v>
      </c>
      <c r="F58" s="1031">
        <f t="shared" si="4"/>
        <v>0</v>
      </c>
      <c r="H58" s="418">
        <v>2014</v>
      </c>
      <c r="I58" s="988"/>
      <c r="J58" s="988">
        <v>0.24</v>
      </c>
      <c r="K58" s="988">
        <v>0.15</v>
      </c>
      <c r="L58" s="988">
        <v>0.61</v>
      </c>
      <c r="M58" s="988">
        <v>0.32</v>
      </c>
      <c r="N58" s="1021">
        <f t="shared" si="10"/>
        <v>0.15</v>
      </c>
      <c r="O58" s="162"/>
      <c r="P58" s="162"/>
      <c r="Q58" s="162"/>
      <c r="R58" s="162"/>
      <c r="S58" s="162"/>
      <c r="T58" s="162"/>
      <c r="U58" s="162"/>
    </row>
    <row r="59" spans="1:21" x14ac:dyDescent="0.25">
      <c r="A59" s="1030" t="s">
        <v>64</v>
      </c>
      <c r="B59" s="1026">
        <v>0.62</v>
      </c>
      <c r="C59" s="985" t="s">
        <v>44</v>
      </c>
      <c r="D59" s="1027">
        <v>42814</v>
      </c>
      <c r="E59" s="1028">
        <v>0.81</v>
      </c>
      <c r="F59" s="1031">
        <f t="shared" si="4"/>
        <v>0.19000000000000006</v>
      </c>
      <c r="H59" s="418">
        <v>2013</v>
      </c>
      <c r="I59" s="988"/>
      <c r="J59" s="988">
        <v>0.09</v>
      </c>
      <c r="K59" s="988">
        <v>0.08</v>
      </c>
      <c r="L59" s="988">
        <v>0.67</v>
      </c>
      <c r="M59" s="988">
        <v>0.44</v>
      </c>
      <c r="N59" s="1021">
        <f t="shared" si="10"/>
        <v>-0.26</v>
      </c>
      <c r="O59" s="162"/>
      <c r="P59" s="162"/>
      <c r="Q59" s="162"/>
      <c r="R59" s="162"/>
      <c r="S59" s="162"/>
      <c r="T59" s="162"/>
      <c r="U59" s="162"/>
    </row>
    <row r="60" spans="1:21" x14ac:dyDescent="0.25">
      <c r="A60" s="1030" t="s">
        <v>65</v>
      </c>
      <c r="B60" s="1026">
        <v>0.54</v>
      </c>
      <c r="C60" s="985" t="s">
        <v>41</v>
      </c>
      <c r="D60" s="1027">
        <v>862064</v>
      </c>
      <c r="E60" s="1028">
        <v>0.65</v>
      </c>
      <c r="F60" s="1031">
        <f t="shared" si="4"/>
        <v>0.10999999999999999</v>
      </c>
      <c r="H60" s="418">
        <v>2012</v>
      </c>
      <c r="I60" s="988"/>
      <c r="J60" s="988">
        <v>0.35</v>
      </c>
      <c r="K60" s="988">
        <v>0.22</v>
      </c>
      <c r="L60" s="988">
        <v>0.56999999999999995</v>
      </c>
      <c r="M60" s="988">
        <v>0.47</v>
      </c>
      <c r="N60" s="1021">
        <f t="shared" si="10"/>
        <v>-0.20000000000000007</v>
      </c>
    </row>
    <row r="61" spans="1:21" x14ac:dyDescent="0.25">
      <c r="A61" s="1030" t="s">
        <v>66</v>
      </c>
      <c r="B61" s="1026">
        <v>0.28999999999999998</v>
      </c>
      <c r="C61" s="985" t="s">
        <v>27</v>
      </c>
      <c r="D61" s="1027">
        <v>193990</v>
      </c>
      <c r="E61" s="1028">
        <v>0.28999999999999998</v>
      </c>
      <c r="F61" s="1031">
        <f t="shared" si="4"/>
        <v>0</v>
      </c>
      <c r="H61" s="418">
        <v>2011</v>
      </c>
      <c r="I61" s="988"/>
      <c r="J61" s="988">
        <v>0.55000000000000004</v>
      </c>
      <c r="K61" s="988">
        <v>0.27</v>
      </c>
      <c r="L61" s="988">
        <v>0.42</v>
      </c>
      <c r="M61" s="988">
        <v>0.52</v>
      </c>
      <c r="N61" s="1021">
        <f t="shared" si="10"/>
        <v>-5.9999999999999942E-2</v>
      </c>
    </row>
    <row r="62" spans="1:21" x14ac:dyDescent="0.25">
      <c r="A62" s="1030" t="s">
        <v>67</v>
      </c>
      <c r="B62" s="1026">
        <v>0.62</v>
      </c>
      <c r="C62" s="985" t="s">
        <v>23</v>
      </c>
      <c r="D62" s="1027">
        <v>155237</v>
      </c>
      <c r="E62" s="1028">
        <v>0.77</v>
      </c>
      <c r="F62" s="1031">
        <f t="shared" si="4"/>
        <v>0.15000000000000002</v>
      </c>
      <c r="H62" s="418">
        <v>2010</v>
      </c>
      <c r="I62" s="988"/>
      <c r="J62" s="988">
        <v>0.61</v>
      </c>
      <c r="K62" s="988">
        <v>0.36</v>
      </c>
      <c r="L62" s="988">
        <v>0.52</v>
      </c>
      <c r="M62" s="988">
        <v>0.61</v>
      </c>
      <c r="N62" s="1021">
        <f t="shared" si="10"/>
        <v>0.10999999999999999</v>
      </c>
      <c r="U62" s="272"/>
    </row>
    <row r="63" spans="1:21" x14ac:dyDescent="0.25">
      <c r="A63" s="1030" t="s">
        <v>68</v>
      </c>
      <c r="B63" s="1026">
        <v>0.48</v>
      </c>
      <c r="C63" s="985" t="s">
        <v>60</v>
      </c>
      <c r="D63" s="1027">
        <v>645212</v>
      </c>
      <c r="E63" s="1028">
        <v>0.69</v>
      </c>
      <c r="F63" s="1031">
        <f t="shared" si="4"/>
        <v>0.20999999999999996</v>
      </c>
      <c r="H63" s="418">
        <v>2009</v>
      </c>
      <c r="I63" s="988"/>
      <c r="J63" s="988">
        <v>0.5</v>
      </c>
      <c r="K63" s="988">
        <v>0.24</v>
      </c>
      <c r="L63" s="988">
        <v>0.46</v>
      </c>
      <c r="M63" s="988">
        <v>0.62</v>
      </c>
      <c r="N63" s="1021">
        <f t="shared" si="10"/>
        <v>7.0000000000000007E-2</v>
      </c>
    </row>
    <row r="64" spans="1:21" x14ac:dyDescent="0.25">
      <c r="A64" s="1030" t="s">
        <v>69</v>
      </c>
      <c r="B64" s="1026">
        <v>0.27</v>
      </c>
      <c r="C64" s="985" t="s">
        <v>32</v>
      </c>
      <c r="D64" s="1027">
        <v>50791</v>
      </c>
      <c r="E64" s="1028">
        <v>0.57999999999999996</v>
      </c>
      <c r="F64" s="1031">
        <f t="shared" si="4"/>
        <v>0.30999999999999994</v>
      </c>
      <c r="H64" s="418">
        <v>2008</v>
      </c>
      <c r="I64" s="988"/>
      <c r="J64" s="988">
        <v>0.43</v>
      </c>
      <c r="K64" s="988">
        <v>0.12</v>
      </c>
      <c r="L64" s="988">
        <v>0.56999999999999995</v>
      </c>
      <c r="M64" s="988">
        <v>0.62</v>
      </c>
      <c r="N64" s="1021">
        <f t="shared" si="10"/>
        <v>0.10999999999999999</v>
      </c>
    </row>
    <row r="65" spans="1:15" x14ac:dyDescent="0.25">
      <c r="A65" s="1030" t="s">
        <v>70</v>
      </c>
      <c r="B65" s="1026">
        <v>0.31</v>
      </c>
      <c r="C65" s="985" t="s">
        <v>34</v>
      </c>
      <c r="D65" s="1027">
        <v>226624</v>
      </c>
      <c r="E65" s="1028">
        <v>0.31</v>
      </c>
      <c r="F65" s="1031">
        <f t="shared" si="4"/>
        <v>0</v>
      </c>
      <c r="H65" s="418">
        <v>2007</v>
      </c>
      <c r="I65" s="988"/>
      <c r="J65" s="988">
        <v>0.32</v>
      </c>
      <c r="K65" s="988">
        <v>0.1</v>
      </c>
      <c r="L65" s="988">
        <v>0.39</v>
      </c>
      <c r="M65" s="988">
        <v>0.61</v>
      </c>
      <c r="N65" s="1021">
        <f t="shared" si="10"/>
        <v>-2.9999999999999971E-2</v>
      </c>
    </row>
    <row r="66" spans="1:15" x14ac:dyDescent="0.25">
      <c r="A66" s="1030" t="s">
        <v>71</v>
      </c>
      <c r="B66" s="1026">
        <v>0.62</v>
      </c>
      <c r="C66" s="985" t="s">
        <v>44</v>
      </c>
      <c r="D66" s="1027">
        <v>55599</v>
      </c>
      <c r="E66" s="1028">
        <v>0.81</v>
      </c>
      <c r="F66" s="1031">
        <f t="shared" si="4"/>
        <v>0.19000000000000006</v>
      </c>
      <c r="H66" s="418">
        <v>2006</v>
      </c>
      <c r="I66" s="988"/>
      <c r="J66" s="988">
        <v>0.35</v>
      </c>
      <c r="K66" s="988">
        <v>0.06</v>
      </c>
      <c r="L66" s="988">
        <v>0.34</v>
      </c>
      <c r="M66" s="988">
        <v>0.67</v>
      </c>
      <c r="N66" s="1021">
        <f t="shared" si="10"/>
        <v>-2.0000000000000018E-2</v>
      </c>
    </row>
    <row r="67" spans="1:15" x14ac:dyDescent="0.25">
      <c r="A67" s="1030" t="s">
        <v>72</v>
      </c>
      <c r="B67" s="1026">
        <v>0.28999999999999998</v>
      </c>
      <c r="C67" s="985" t="s">
        <v>20</v>
      </c>
      <c r="D67" s="1027">
        <v>395646</v>
      </c>
      <c r="E67" s="1028">
        <v>0.28999999999999998</v>
      </c>
      <c r="F67" s="1031">
        <f t="shared" si="4"/>
        <v>0</v>
      </c>
      <c r="H67" s="418">
        <v>2005</v>
      </c>
      <c r="I67" s="988"/>
      <c r="J67" s="988">
        <v>0.37</v>
      </c>
      <c r="K67" s="988">
        <v>7.0000000000000007E-2</v>
      </c>
      <c r="L67" s="988">
        <v>0.25</v>
      </c>
      <c r="M67" s="988">
        <v>0.51</v>
      </c>
      <c r="N67" s="1021">
        <f t="shared" si="10"/>
        <v>-9.9999999999999978E-2</v>
      </c>
    </row>
    <row r="68" spans="1:15" x14ac:dyDescent="0.25">
      <c r="A68" s="1030" t="s">
        <v>73</v>
      </c>
      <c r="B68" s="1026">
        <v>7.0000000000000007E-2</v>
      </c>
      <c r="C68" s="985" t="s">
        <v>27</v>
      </c>
      <c r="D68" s="1027">
        <v>1466439</v>
      </c>
      <c r="E68" s="1028">
        <v>7.0000000000000007E-2</v>
      </c>
      <c r="F68" s="1031">
        <f t="shared" si="4"/>
        <v>0</v>
      </c>
      <c r="H68" s="418">
        <v>2004</v>
      </c>
      <c r="I68" s="988"/>
      <c r="J68" s="988">
        <v>0.47</v>
      </c>
      <c r="K68" s="988">
        <v>7.0000000000000007E-2</v>
      </c>
      <c r="L68" s="988">
        <v>0.41</v>
      </c>
      <c r="M68" s="988">
        <v>0.71</v>
      </c>
      <c r="N68" s="1024" t="s">
        <v>1405</v>
      </c>
    </row>
    <row r="69" spans="1:15" ht="29.25" thickBot="1" x14ac:dyDescent="0.3">
      <c r="A69" s="1030" t="s">
        <v>74</v>
      </c>
      <c r="B69" s="1026">
        <v>0.56999999999999995</v>
      </c>
      <c r="C69" s="985" t="s">
        <v>25</v>
      </c>
      <c r="D69" s="1027">
        <v>220523</v>
      </c>
      <c r="E69" s="1028">
        <v>0.64</v>
      </c>
      <c r="F69" s="1031">
        <f t="shared" si="4"/>
        <v>7.0000000000000062E-2</v>
      </c>
      <c r="H69" s="1025" t="s">
        <v>863</v>
      </c>
      <c r="I69" s="989">
        <f>AVERAGE(I49:I68)</f>
        <v>0.41555555555555562</v>
      </c>
      <c r="J69" s="989">
        <f>AVERAGE(J49:J68)</f>
        <v>0.35950000000000004</v>
      </c>
      <c r="K69" s="989">
        <f>AVERAGE(K49:K68)</f>
        <v>0.17649999999999996</v>
      </c>
      <c r="L69" s="989">
        <f>AVERAGE(L49:L68)</f>
        <v>0.50400000000000011</v>
      </c>
      <c r="M69" s="989">
        <f>AVERAGE(M49:M68)</f>
        <v>0.52149999999999996</v>
      </c>
      <c r="N69" s="1020"/>
    </row>
    <row r="70" spans="1:15" ht="42" customHeight="1" x14ac:dyDescent="0.25">
      <c r="A70" s="1030" t="s">
        <v>75</v>
      </c>
      <c r="B70" s="1026">
        <v>0.48</v>
      </c>
      <c r="C70" s="985" t="s">
        <v>32</v>
      </c>
      <c r="D70" s="1027">
        <v>16348</v>
      </c>
      <c r="E70" s="1028">
        <v>0.73</v>
      </c>
      <c r="F70" s="1031">
        <f t="shared" si="4"/>
        <v>0.25</v>
      </c>
      <c r="H70" s="1364" t="s">
        <v>1606</v>
      </c>
      <c r="I70" s="1364"/>
    </row>
    <row r="71" spans="1:15" ht="53.45" customHeight="1" x14ac:dyDescent="0.25">
      <c r="A71" s="1030" t="s">
        <v>76</v>
      </c>
      <c r="B71" s="1026">
        <v>0.39</v>
      </c>
      <c r="C71" s="985" t="s">
        <v>34</v>
      </c>
      <c r="D71" s="1027">
        <v>320961</v>
      </c>
      <c r="E71" s="1028">
        <v>0.39</v>
      </c>
      <c r="F71" s="1031">
        <f t="shared" si="4"/>
        <v>0</v>
      </c>
      <c r="H71" s="1363" t="s">
        <v>1621</v>
      </c>
      <c r="I71" s="1363"/>
    </row>
    <row r="72" spans="1:15" x14ac:dyDescent="0.25">
      <c r="A72" s="1030" t="s">
        <v>77</v>
      </c>
      <c r="B72" s="1026">
        <v>0.5</v>
      </c>
      <c r="C72" s="985" t="s">
        <v>23</v>
      </c>
      <c r="D72" s="1027">
        <v>255815</v>
      </c>
      <c r="E72" s="1028">
        <v>0.55000000000000004</v>
      </c>
      <c r="F72" s="1031">
        <f t="shared" si="4"/>
        <v>5.0000000000000044E-2</v>
      </c>
      <c r="I72" s="275"/>
      <c r="J72" s="273"/>
    </row>
    <row r="73" spans="1:15" x14ac:dyDescent="0.25">
      <c r="A73" s="1030" t="s">
        <v>78</v>
      </c>
      <c r="B73" s="1026">
        <v>0.52</v>
      </c>
      <c r="C73" s="985" t="s">
        <v>34</v>
      </c>
      <c r="D73" s="1027">
        <v>60508</v>
      </c>
      <c r="E73" s="1028">
        <v>0.79</v>
      </c>
      <c r="F73" s="1031">
        <f t="shared" si="4"/>
        <v>0.27</v>
      </c>
    </row>
    <row r="74" spans="1:15" x14ac:dyDescent="0.25">
      <c r="A74" s="1030" t="s">
        <v>79</v>
      </c>
      <c r="B74" s="1026">
        <v>0.79</v>
      </c>
      <c r="C74" s="985" t="s">
        <v>41</v>
      </c>
      <c r="D74" s="1027">
        <v>438626</v>
      </c>
      <c r="E74" s="1028">
        <v>0.93</v>
      </c>
      <c r="F74" s="1031">
        <f t="shared" si="4"/>
        <v>0.14000000000000001</v>
      </c>
      <c r="H74" s="271"/>
      <c r="M74" s="279"/>
      <c r="N74" s="279"/>
    </row>
    <row r="75" spans="1:15" x14ac:dyDescent="0.25">
      <c r="A75" s="1030" t="s">
        <v>80</v>
      </c>
      <c r="B75" s="1026">
        <v>0.53</v>
      </c>
      <c r="C75" s="985" t="s">
        <v>25</v>
      </c>
      <c r="D75" s="1027">
        <v>39944</v>
      </c>
      <c r="E75" s="1028">
        <v>0.65</v>
      </c>
      <c r="F75" s="1031">
        <f t="shared" si="4"/>
        <v>0.12</v>
      </c>
      <c r="M75" s="279"/>
      <c r="N75" s="275"/>
    </row>
    <row r="76" spans="1:15" ht="15.75" thickBot="1" x14ac:dyDescent="0.3">
      <c r="A76" s="1032" t="s">
        <v>151</v>
      </c>
      <c r="B76" s="1033">
        <v>0.39</v>
      </c>
      <c r="C76" s="1034"/>
      <c r="D76" s="1035">
        <f>SUM(D25:D75)</f>
        <v>16168738</v>
      </c>
      <c r="E76" s="1035"/>
      <c r="F76" s="1036"/>
      <c r="L76" s="279"/>
      <c r="M76" s="275"/>
      <c r="N76" s="272"/>
      <c r="O76" s="272"/>
    </row>
  </sheetData>
  <mergeCells count="21">
    <mergeCell ref="H71:I71"/>
    <mergeCell ref="H70:I70"/>
    <mergeCell ref="A1:B1"/>
    <mergeCell ref="A2:G2"/>
    <mergeCell ref="A3:G3"/>
    <mergeCell ref="A21:D22"/>
    <mergeCell ref="A23:F23"/>
    <mergeCell ref="A6:F6"/>
    <mergeCell ref="L5:L7"/>
    <mergeCell ref="J5:J7"/>
    <mergeCell ref="M5:M7"/>
    <mergeCell ref="H47:N47"/>
    <mergeCell ref="N38:Q39"/>
    <mergeCell ref="N37:Q37"/>
    <mergeCell ref="N23:X23"/>
    <mergeCell ref="K5:K7"/>
    <mergeCell ref="N8:N10"/>
    <mergeCell ref="H23:L23"/>
    <mergeCell ref="N5:N7"/>
    <mergeCell ref="L11:L13"/>
    <mergeCell ref="N11:N13"/>
  </mergeCells>
  <phoneticPr fontId="3" type="noConversion"/>
  <conditionalFormatting sqref="H2:XFD3 E4:I4 N4:XFD4 L4:M5 B5:C5 P5:XFD5 H5:I6 A5:A7 O6:XFD19 C7:F7 I7 B8 D8:F8 H8:K8 M8 L8:L10 B9:F9 I9:I10 A10:F19 A20:I20 M20:XFD20 A21 G21:N22 R21:XFD22 A23 G23 M23:N23 H23:H33 H24:I33 N24:X33 J24:L34 A24:E77 G34:I34 M34:X35 G35:G46 N36:XFD36 R37:R38 N38 O40:P40 Q40:Q43 N41:O42 N44:N45 H46 K46:N46 G47:H47 G48:N59 G60:XFD68 H69:XFD69 G69:G77 H70:H71 J70:XFD71 H72:XFD1048576 F76:F77 A78:G1048576">
    <cfRule type="expression" dxfId="2" priority="3">
      <formula>"ISFORMULA"</formula>
    </cfRule>
  </conditionalFormatting>
  <conditionalFormatting sqref="N5">
    <cfRule type="expression" dxfId="1" priority="1">
      <formula>"ISFORMULA"</formula>
    </cfRule>
  </conditionalFormatting>
  <conditionalFormatting sqref="N11">
    <cfRule type="expression" dxfId="0" priority="2">
      <formula>"ISFORMULA"</formula>
    </cfRule>
  </conditionalFormatting>
  <hyperlinks>
    <hyperlink ref="K46" r:id="rId1" xr:uid="{6FC26F08-7E8E-4B4D-98F5-34E6A823AD1D}"/>
    <hyperlink ref="A16" r:id="rId2" display="https://www.aga.org/wp-content/uploads/2023/06/AGA-Energy-Insights-Empowering-Consumer-Choices-Analyzing-the-Impact-of-the-ENERGY-STAR-Program-on-the-Adoption-of-High-Efficiency-Gas-Appliances.pdf" xr:uid="{59E49216-A2C1-4967-AE48-21EBABB4A14B}"/>
    <hyperlink ref="N21" r:id="rId3" xr:uid="{EF7EF51D-432E-46D1-A04D-1A6DB14038E9}"/>
    <hyperlink ref="L9" r:id="rId4" xr:uid="{25B99A5E-3C3C-4DF2-8B69-296D1B10B21D}"/>
    <hyperlink ref="L10" r:id="rId5" xr:uid="{5BB4A5ED-6455-4515-982E-666239B551E1}"/>
    <hyperlink ref="M8" r:id="rId6" xr:uid="{3DA28EB9-11CD-458E-9AF8-7320DE1476EC}"/>
    <hyperlink ref="R39" r:id="rId7" location=":~:text=Condensing%20furnaces%20are%20able%20to,gas%20utilities%2C%20and%20efficiency%20advocates " xr:uid="{30B98830-45A8-479F-A3DC-9F27508ED324}"/>
    <hyperlink ref="R38" r:id="rId8" xr:uid="{4DCA0B58-1EDB-4E66-8DCF-1839B99E6F1A}"/>
    <hyperlink ref="N22" r:id="rId9" xr:uid="{768C96E4-4D7D-4CC9-BAC1-BF80D3E00854}"/>
    <hyperlink ref="G23" r:id="rId10" xr:uid="{DF7DEBF8-17FA-4BF2-B837-B62FF6522FF8}"/>
    <hyperlink ref="D12" location="'23 Venting Notes'!A20" display="*" xr:uid="{8C1998C9-14B3-4941-B6F2-EE80C0D1D96A}"/>
    <hyperlink ref="D8" location="'23 Venting Notes'!L4" display="Click here for Note 3" xr:uid="{7E54F680-54A3-484C-AF64-040BFA067A8C}"/>
    <hyperlink ref="E8" location="'23 Venting Notes'!M4" display="Click here for Note 4" xr:uid="{7670EAE8-E806-4DEB-BAC3-0BC7965C7B86}"/>
    <hyperlink ref="F8" location="'23 Venting Notes'!N4" display="Click here for Note 5" xr:uid="{4EDC1377-A811-4460-8A4A-19515139EE55}"/>
    <hyperlink ref="D13" location="'23 Venting Notes'!A20" display="*" xr:uid="{34D87ACA-25CF-4353-8A27-002B0B5A58CA}"/>
    <hyperlink ref="D14" location="'23 Venting Notes'!A20" display="*" xr:uid="{B46F25A1-9CA5-484D-ADDF-748798E2987F}"/>
    <hyperlink ref="D15" location="'23 Venting Notes'!A20" display="*" xr:uid="{4E29468B-2436-484D-8DE7-8538BB6D3814}"/>
    <hyperlink ref="D16" location="'23 Venting Notes'!A20" display="*" xr:uid="{6BE9E71F-F7C4-4636-8D8D-88B21DB9B5C4}"/>
    <hyperlink ref="D17" location="'23 Venting Notes'!A20" display="*" xr:uid="{0DDB5FD0-0352-4A4C-8716-3DC6EC78FB9F}"/>
    <hyperlink ref="D18" location="'23 Venting Notes'!A20" display="*" xr:uid="{5E935FA1-EE48-45DB-BD89-F810796889E2}"/>
    <hyperlink ref="F12" location="'23 Venting Notes'!A20" display="*" xr:uid="{21E7AA35-7777-4509-AE08-90AAEAB657A6}"/>
    <hyperlink ref="F13" location="'23 Venting Notes'!A20" display="*" xr:uid="{11286375-D99A-4113-893F-F7A6C98CC8B3}"/>
    <hyperlink ref="F14" location="'23 Venting Notes'!A20" display="*" xr:uid="{191462E8-D833-41CA-9126-368A5ABA9291}"/>
    <hyperlink ref="F15" location="'23 Venting Notes'!A20" display="*" xr:uid="{DEE6AD5D-D71E-402A-861B-528ED5D666D3}"/>
    <hyperlink ref="F16" location="'23 Venting Notes'!A20" display="*" xr:uid="{B1BC15CE-3926-4F1E-9423-72EF7AE01065}"/>
    <hyperlink ref="F17" location="'23 Venting Notes'!A20" display="*" xr:uid="{84B766DE-38A9-48FF-A973-3D883DAA1C17}"/>
    <hyperlink ref="F18" location="'23 Venting Notes'!A20" display="*" xr:uid="{7BA763F9-B833-4288-A2B3-4800DFABEF4A}"/>
    <hyperlink ref="N11" r:id="rId11" xr:uid="{C07ACFD9-7C1B-4998-8882-45A4B60CF4A6}"/>
    <hyperlink ref="B8" location="'23 Venting Notes'!J4" display="Click here for Note 1" xr:uid="{6ED03193-F8AF-4CFE-953C-1A92179393F3}"/>
    <hyperlink ref="C8" location="'23 Venting Notes'!K4" display="Click here for Note 2" xr:uid="{7F01E8E1-24B7-4502-BC2A-14F7C5A40A90}"/>
    <hyperlink ref="M9" r:id="rId12" xr:uid="{F0477618-66D7-4D3A-B40B-7F0BB1EFB641}"/>
    <hyperlink ref="L11" r:id="rId13" xr:uid="{853DD0EF-D37D-41A6-9C14-5F67EF0A5253}"/>
  </hyperlinks>
  <pageMargins left="0.7" right="0.7" top="0.75" bottom="0.75" header="0.3" footer="0.3"/>
  <pageSetup orientation="portrait" r:id="rId14"/>
  <ignoredErrors>
    <ignoredError sqref="O33 R33:S33 U33:V33 O34:X34 X33" formulaRange="1"/>
    <ignoredError sqref="E19" formula="1"/>
  </ignoredErrors>
  <drawing r:id="rId1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D9F8C-2289-4205-BFE6-35CA5D631B20}">
  <sheetPr codeName="Sheet18">
    <tabColor theme="8" tint="-0.499984740745262"/>
  </sheetPr>
  <dimension ref="A1:R87"/>
  <sheetViews>
    <sheetView workbookViewId="0">
      <selection sqref="A1:A2"/>
    </sheetView>
  </sheetViews>
  <sheetFormatPr defaultColWidth="9.140625" defaultRowHeight="15" x14ac:dyDescent="0.25"/>
  <cols>
    <col min="1" max="1" width="39.85546875" style="5" customWidth="1"/>
    <col min="2" max="2" width="48.85546875" style="5" customWidth="1"/>
    <col min="3" max="3" width="9.7109375" style="5" customWidth="1"/>
    <col min="4" max="4" width="29.7109375" style="5" customWidth="1"/>
    <col min="5" max="5" width="22.28515625" style="5" customWidth="1"/>
    <col min="6" max="6" width="23.28515625" style="5" customWidth="1"/>
    <col min="7" max="7" width="15.28515625" style="5" customWidth="1"/>
    <col min="8" max="8" width="12.42578125" style="5" customWidth="1"/>
    <col min="9" max="9" width="19.5703125" style="5" customWidth="1"/>
    <col min="10" max="10" width="21.140625" style="5" customWidth="1"/>
    <col min="11" max="11" width="22.42578125" style="5" customWidth="1"/>
    <col min="12" max="12" width="21.85546875" style="5" customWidth="1"/>
    <col min="13" max="16384" width="9.140625" style="5"/>
  </cols>
  <sheetData>
    <row r="1" spans="1:12" ht="64.5" customHeight="1" x14ac:dyDescent="0.25">
      <c r="A1" s="1264" t="s">
        <v>1572</v>
      </c>
      <c r="K1" s="363" t="s">
        <v>516</v>
      </c>
      <c r="L1" s="362"/>
    </row>
    <row r="2" spans="1:12" x14ac:dyDescent="0.25">
      <c r="A2" s="1264"/>
      <c r="B2" s="5" t="s">
        <v>1573</v>
      </c>
    </row>
    <row r="4" spans="1:12" ht="15.75" x14ac:dyDescent="0.25">
      <c r="D4" s="6" t="s">
        <v>103</v>
      </c>
      <c r="E4" s="8"/>
      <c r="F4" s="8"/>
      <c r="G4" s="8"/>
      <c r="H4" s="8"/>
      <c r="I4" s="8"/>
      <c r="J4" s="8"/>
    </row>
    <row r="5" spans="1:12" ht="18" customHeight="1" x14ac:dyDescent="0.25">
      <c r="A5" s="8"/>
      <c r="C5" s="1283" t="s">
        <v>611</v>
      </c>
      <c r="D5" s="1283"/>
      <c r="E5" s="30" t="s">
        <v>612</v>
      </c>
      <c r="F5" s="8"/>
      <c r="G5" s="8"/>
      <c r="H5" s="30" t="s">
        <v>616</v>
      </c>
      <c r="I5" s="8"/>
    </row>
    <row r="6" spans="1:12" ht="49.5" customHeight="1" x14ac:dyDescent="0.25">
      <c r="A6" s="8"/>
      <c r="C6" s="1095" t="s">
        <v>88</v>
      </c>
      <c r="D6" s="1095"/>
      <c r="E6" s="30" t="s">
        <v>89</v>
      </c>
      <c r="F6" s="8"/>
      <c r="G6" s="8"/>
      <c r="H6" s="8"/>
      <c r="I6" s="8"/>
      <c r="J6" s="8"/>
    </row>
    <row r="7" spans="1:12" ht="46.5" customHeight="1" x14ac:dyDescent="0.25">
      <c r="A7" s="8"/>
      <c r="C7" s="1095" t="s">
        <v>90</v>
      </c>
      <c r="D7" s="1095"/>
      <c r="E7" s="30" t="s">
        <v>91</v>
      </c>
      <c r="F7" s="8"/>
      <c r="G7" s="8"/>
      <c r="H7" s="8"/>
      <c r="I7" s="8"/>
      <c r="J7" s="8"/>
    </row>
    <row r="8" spans="1:12" ht="48.75" customHeight="1" x14ac:dyDescent="0.25">
      <c r="A8" s="8"/>
      <c r="C8" s="1095" t="s">
        <v>92</v>
      </c>
      <c r="D8" s="1095"/>
      <c r="E8" s="30" t="s">
        <v>93</v>
      </c>
      <c r="F8" s="8"/>
      <c r="G8" s="8"/>
      <c r="H8" s="8"/>
      <c r="I8" s="8"/>
      <c r="J8" s="8"/>
    </row>
    <row r="9" spans="1:12" ht="62.45" customHeight="1" x14ac:dyDescent="0.25">
      <c r="A9" s="8"/>
      <c r="C9" s="1095" t="s">
        <v>94</v>
      </c>
      <c r="D9" s="1095"/>
      <c r="E9" s="441" t="s">
        <v>95</v>
      </c>
      <c r="F9" s="8"/>
      <c r="G9" s="8"/>
      <c r="H9" s="8"/>
      <c r="I9" s="8"/>
      <c r="J9" s="8"/>
    </row>
    <row r="10" spans="1:12" ht="15.75" x14ac:dyDescent="0.25">
      <c r="A10" s="8"/>
      <c r="B10" s="8"/>
      <c r="C10" s="5" t="s">
        <v>610</v>
      </c>
      <c r="E10" s="441" t="s">
        <v>599</v>
      </c>
      <c r="F10" s="8"/>
      <c r="G10" s="8"/>
      <c r="H10" s="8"/>
    </row>
    <row r="11" spans="1:12" ht="15.75" x14ac:dyDescent="0.25">
      <c r="A11" s="1385" t="s">
        <v>1230</v>
      </c>
      <c r="B11" s="1386"/>
      <c r="C11" s="5" t="s">
        <v>615</v>
      </c>
      <c r="E11" s="30" t="s">
        <v>613</v>
      </c>
      <c r="F11" s="8"/>
      <c r="G11" s="8"/>
      <c r="H11" s="8"/>
    </row>
    <row r="12" spans="1:12" ht="30.75" customHeight="1" x14ac:dyDescent="0.25">
      <c r="A12" s="206" t="s">
        <v>101</v>
      </c>
      <c r="B12" s="207" t="s">
        <v>102</v>
      </c>
      <c r="C12" s="1387" t="s">
        <v>617</v>
      </c>
      <c r="D12" s="1388"/>
      <c r="E12" s="729" t="s">
        <v>618</v>
      </c>
      <c r="F12" s="8"/>
      <c r="G12" s="8"/>
      <c r="H12" s="8"/>
    </row>
    <row r="13" spans="1:12" ht="114.75" customHeight="1" x14ac:dyDescent="0.25">
      <c r="A13" s="852" t="s">
        <v>96</v>
      </c>
      <c r="B13" s="853" t="s">
        <v>1205</v>
      </c>
      <c r="C13" s="42" t="s">
        <v>1284</v>
      </c>
      <c r="E13" s="161" t="s">
        <v>614</v>
      </c>
      <c r="F13" s="8"/>
      <c r="G13" s="8"/>
      <c r="H13" s="8"/>
    </row>
    <row r="14" spans="1:12" ht="98.25" customHeight="1" x14ac:dyDescent="0.25">
      <c r="A14" s="852" t="s">
        <v>1223</v>
      </c>
      <c r="B14" s="853" t="s">
        <v>1228</v>
      </c>
      <c r="C14" s="8"/>
      <c r="D14" s="8"/>
      <c r="E14" s="8"/>
      <c r="F14" s="8"/>
      <c r="G14" s="8"/>
      <c r="H14" s="8"/>
    </row>
    <row r="15" spans="1:12" ht="30" x14ac:dyDescent="0.25">
      <c r="A15" s="852" t="s">
        <v>97</v>
      </c>
      <c r="B15" s="853" t="s">
        <v>1227</v>
      </c>
      <c r="C15" s="8"/>
      <c r="D15" s="8"/>
      <c r="E15" s="8"/>
      <c r="F15" s="8"/>
      <c r="G15" s="8"/>
      <c r="H15" s="8"/>
    </row>
    <row r="16" spans="1:12" ht="30" customHeight="1" x14ac:dyDescent="0.25">
      <c r="A16" s="852" t="s">
        <v>98</v>
      </c>
      <c r="B16" s="853" t="s">
        <v>1206</v>
      </c>
      <c r="C16" s="8"/>
      <c r="F16" s="8"/>
      <c r="G16" s="8"/>
      <c r="H16" s="8"/>
    </row>
    <row r="17" spans="1:13" ht="30" x14ac:dyDescent="0.25">
      <c r="A17" s="852" t="s">
        <v>1225</v>
      </c>
      <c r="B17" s="854" t="s">
        <v>1226</v>
      </c>
      <c r="C17" s="8"/>
      <c r="D17" s="8"/>
      <c r="E17" s="8"/>
      <c r="F17" s="8"/>
      <c r="G17" s="8"/>
      <c r="H17" s="8"/>
    </row>
    <row r="18" spans="1:13" ht="90" x14ac:dyDescent="0.25">
      <c r="A18" s="852" t="s">
        <v>99</v>
      </c>
      <c r="B18" s="853" t="s">
        <v>1224</v>
      </c>
      <c r="C18" s="8"/>
      <c r="D18" s="8"/>
      <c r="E18" s="1217" t="s">
        <v>1487</v>
      </c>
      <c r="F18" s="1217"/>
      <c r="G18" s="1217"/>
      <c r="H18" s="1217"/>
      <c r="I18" s="1217"/>
      <c r="J18" s="1217"/>
      <c r="K18" s="1217"/>
    </row>
    <row r="19" spans="1:13" ht="78" customHeight="1" thickBot="1" x14ac:dyDescent="0.3">
      <c r="A19" s="855" t="s">
        <v>100</v>
      </c>
      <c r="B19" s="856" t="s">
        <v>1283</v>
      </c>
      <c r="C19" s="8"/>
      <c r="D19" s="8"/>
      <c r="E19" s="1374"/>
      <c r="F19" s="1374"/>
      <c r="G19" s="1374"/>
      <c r="H19" s="1374"/>
      <c r="I19" s="1374"/>
      <c r="J19" s="1374"/>
      <c r="K19" s="1374"/>
    </row>
    <row r="20" spans="1:13" ht="15.75" x14ac:dyDescent="0.25">
      <c r="A20" s="2"/>
      <c r="B20" s="208"/>
      <c r="C20" s="8"/>
      <c r="D20" s="8"/>
      <c r="E20" s="1379" t="s">
        <v>1233</v>
      </c>
      <c r="F20" s="1380"/>
      <c r="G20" s="1380"/>
      <c r="H20" s="1380"/>
      <c r="I20" s="1380"/>
      <c r="J20" s="1380"/>
      <c r="K20" s="1381"/>
    </row>
    <row r="21" spans="1:13" ht="16.5" customHeight="1" thickBot="1" x14ac:dyDescent="0.3">
      <c r="A21" s="7"/>
      <c r="B21" s="10"/>
      <c r="C21" s="8"/>
      <c r="D21" s="8"/>
      <c r="E21" s="1382" t="s">
        <v>1232</v>
      </c>
      <c r="F21" s="1383"/>
      <c r="G21" s="1383"/>
      <c r="H21" s="1383"/>
      <c r="I21" s="1383"/>
      <c r="J21" s="1383"/>
      <c r="K21" s="1384"/>
    </row>
    <row r="22" spans="1:13" ht="32.450000000000003" customHeight="1" x14ac:dyDescent="0.25">
      <c r="A22" s="1376" t="s">
        <v>593</v>
      </c>
      <c r="B22" s="1378"/>
      <c r="C22" s="8"/>
      <c r="D22" s="8"/>
      <c r="E22" s="930" t="s">
        <v>1409</v>
      </c>
      <c r="F22" s="931" t="s">
        <v>609</v>
      </c>
      <c r="G22" s="931" t="s">
        <v>1410</v>
      </c>
      <c r="H22" s="931" t="s">
        <v>600</v>
      </c>
      <c r="I22" s="931" t="s">
        <v>1411</v>
      </c>
      <c r="J22" s="931" t="s">
        <v>601</v>
      </c>
      <c r="K22" s="932" t="s">
        <v>602</v>
      </c>
    </row>
    <row r="23" spans="1:13" ht="15.75" x14ac:dyDescent="0.25">
      <c r="A23" s="476" t="s">
        <v>519</v>
      </c>
      <c r="B23" s="477" t="s">
        <v>350</v>
      </c>
      <c r="C23" s="8"/>
      <c r="D23" s="8"/>
      <c r="E23" s="224"/>
      <c r="F23" s="81"/>
      <c r="G23" s="81"/>
      <c r="H23" s="81"/>
      <c r="I23" s="81"/>
      <c r="J23" s="81"/>
      <c r="K23" s="479"/>
    </row>
    <row r="24" spans="1:13" ht="47.25" customHeight="1" x14ac:dyDescent="0.25">
      <c r="A24" s="857" t="s">
        <v>32</v>
      </c>
      <c r="B24" s="858" t="s">
        <v>595</v>
      </c>
      <c r="C24" s="8"/>
      <c r="D24" s="8"/>
      <c r="E24" s="864" t="s">
        <v>605</v>
      </c>
      <c r="F24" s="865">
        <v>1.21</v>
      </c>
      <c r="G24" s="865">
        <v>0.4</v>
      </c>
      <c r="H24" s="865">
        <v>0.33</v>
      </c>
      <c r="I24" s="865">
        <v>0.14000000000000001</v>
      </c>
      <c r="J24" s="865">
        <v>0.27</v>
      </c>
      <c r="K24" s="866">
        <v>7.0000000000000007E-2</v>
      </c>
    </row>
    <row r="25" spans="1:13" ht="30" x14ac:dyDescent="0.25">
      <c r="A25" s="857" t="s">
        <v>60</v>
      </c>
      <c r="B25" s="858" t="s">
        <v>595</v>
      </c>
      <c r="C25" s="8"/>
      <c r="D25" s="8"/>
      <c r="E25" s="864" t="s">
        <v>606</v>
      </c>
      <c r="F25" s="865">
        <v>0.64</v>
      </c>
      <c r="G25" s="865">
        <v>0.28999999999999998</v>
      </c>
      <c r="H25" s="865">
        <v>0.15</v>
      </c>
      <c r="I25" s="867" t="s">
        <v>604</v>
      </c>
      <c r="J25" s="865">
        <v>0.04</v>
      </c>
      <c r="K25" s="866">
        <v>0.12</v>
      </c>
    </row>
    <row r="26" spans="1:13" ht="30" x14ac:dyDescent="0.25">
      <c r="A26" s="857" t="s">
        <v>41</v>
      </c>
      <c r="B26" s="858" t="s">
        <v>596</v>
      </c>
      <c r="C26" s="8"/>
      <c r="D26" s="8"/>
      <c r="E26" s="864" t="s">
        <v>607</v>
      </c>
      <c r="F26" s="865">
        <v>0.32</v>
      </c>
      <c r="G26" s="865">
        <v>0.14000000000000001</v>
      </c>
      <c r="H26" s="865">
        <v>0.1</v>
      </c>
      <c r="I26" s="867" t="s">
        <v>604</v>
      </c>
      <c r="J26" s="867" t="s">
        <v>604</v>
      </c>
      <c r="K26" s="868" t="s">
        <v>604</v>
      </c>
    </row>
    <row r="27" spans="1:13" ht="30.75" thickBot="1" x14ac:dyDescent="0.3">
      <c r="A27" s="857" t="s">
        <v>44</v>
      </c>
      <c r="B27" s="858" t="s">
        <v>596</v>
      </c>
      <c r="C27" s="8"/>
      <c r="D27" s="8"/>
      <c r="E27" s="869" t="s">
        <v>608</v>
      </c>
      <c r="F27" s="870">
        <v>0.41</v>
      </c>
      <c r="G27" s="870">
        <v>0.11</v>
      </c>
      <c r="H27" s="870">
        <v>0.16</v>
      </c>
      <c r="I27" s="871" t="s">
        <v>604</v>
      </c>
      <c r="J27" s="870">
        <v>0.06</v>
      </c>
      <c r="K27" s="872" t="s">
        <v>604</v>
      </c>
    </row>
    <row r="28" spans="1:13" ht="30.75" thickBot="1" x14ac:dyDescent="0.3">
      <c r="A28" s="857" t="s">
        <v>34</v>
      </c>
      <c r="B28" s="858" t="s">
        <v>595</v>
      </c>
      <c r="C28" s="8"/>
      <c r="D28" s="8"/>
      <c r="E28" s="478"/>
      <c r="F28" s="1375" t="s">
        <v>1212</v>
      </c>
      <c r="G28" s="1375"/>
      <c r="H28" s="1375"/>
      <c r="I28" s="1375"/>
      <c r="J28" s="1375"/>
      <c r="K28" s="1375"/>
    </row>
    <row r="29" spans="1:13" ht="32.25" customHeight="1" x14ac:dyDescent="0.25">
      <c r="A29" s="857" t="s">
        <v>20</v>
      </c>
      <c r="B29" s="858" t="s">
        <v>597</v>
      </c>
      <c r="C29" s="8"/>
      <c r="D29" s="8"/>
      <c r="F29" s="1376" t="s">
        <v>941</v>
      </c>
      <c r="G29" s="1377"/>
      <c r="H29" s="1377"/>
      <c r="I29" s="1377"/>
      <c r="J29" s="1377"/>
      <c r="K29" s="1378"/>
      <c r="L29" s="481"/>
      <c r="M29" s="481"/>
    </row>
    <row r="30" spans="1:13" ht="78.599999999999994" customHeight="1" x14ac:dyDescent="0.25">
      <c r="A30" s="857" t="s">
        <v>27</v>
      </c>
      <c r="B30" s="858" t="s">
        <v>598</v>
      </c>
      <c r="C30" s="8"/>
      <c r="D30" s="8"/>
      <c r="E30" s="918" t="s">
        <v>1408</v>
      </c>
      <c r="F30" s="933" t="s">
        <v>519</v>
      </c>
      <c r="G30" s="934" t="s">
        <v>128</v>
      </c>
      <c r="H30" s="934" t="s">
        <v>619</v>
      </c>
      <c r="I30" s="934" t="s">
        <v>942</v>
      </c>
      <c r="J30" s="935" t="s">
        <v>1406</v>
      </c>
      <c r="K30" s="936" t="s">
        <v>1407</v>
      </c>
      <c r="L30" s="482"/>
      <c r="M30" s="483"/>
    </row>
    <row r="31" spans="1:13" ht="30" x14ac:dyDescent="0.25">
      <c r="A31" s="857" t="s">
        <v>25</v>
      </c>
      <c r="B31" s="858" t="s">
        <v>598</v>
      </c>
      <c r="C31" s="8"/>
      <c r="D31" s="8"/>
      <c r="F31" s="224"/>
      <c r="G31" s="241"/>
      <c r="H31" s="241" t="s">
        <v>203</v>
      </c>
      <c r="I31" s="241" t="s">
        <v>203</v>
      </c>
      <c r="J31" s="159"/>
      <c r="K31" s="917"/>
      <c r="L31" s="484"/>
      <c r="M31" s="485"/>
    </row>
    <row r="32" spans="1:13" ht="30.75" thickBot="1" x14ac:dyDescent="0.3">
      <c r="A32" s="859" t="s">
        <v>23</v>
      </c>
      <c r="B32" s="860" t="s">
        <v>598</v>
      </c>
      <c r="C32" s="8"/>
      <c r="D32" s="8"/>
      <c r="F32" s="969" t="s">
        <v>32</v>
      </c>
      <c r="G32" s="925">
        <f t="shared" ref="G32:G40" si="0">H32+I32</f>
        <v>54.3</v>
      </c>
      <c r="H32" s="241">
        <v>50.4</v>
      </c>
      <c r="I32" s="241">
        <v>3.9</v>
      </c>
      <c r="J32" s="926">
        <f>G32/SUM($G$32:$G$40)</f>
        <v>0.13919507818508076</v>
      </c>
      <c r="K32" s="927">
        <f t="shared" ref="K32:K40" si="1">J32*D37</f>
        <v>0.48718277364778262</v>
      </c>
      <c r="L32" s="801"/>
      <c r="M32" s="798"/>
    </row>
    <row r="33" spans="1:18" ht="15.75" x14ac:dyDescent="0.25">
      <c r="C33" s="8"/>
      <c r="D33" s="8"/>
      <c r="F33" s="969" t="s">
        <v>60</v>
      </c>
      <c r="G33" s="925">
        <f t="shared" si="0"/>
        <v>51.5</v>
      </c>
      <c r="H33" s="241">
        <v>46.4</v>
      </c>
      <c r="I33" s="241">
        <v>5.0999999999999996</v>
      </c>
      <c r="J33" s="926">
        <f t="shared" ref="J33:J40" si="2">G33/SUM($G$32:$G$40)</f>
        <v>0.13201743142783903</v>
      </c>
      <c r="K33" s="927">
        <f t="shared" si="1"/>
        <v>0.4620610099974366</v>
      </c>
      <c r="L33" s="800"/>
    </row>
    <row r="34" spans="1:18" ht="16.5" thickBot="1" x14ac:dyDescent="0.3">
      <c r="A34" s="7"/>
      <c r="B34" s="10"/>
      <c r="C34" s="8"/>
      <c r="D34" s="8"/>
      <c r="F34" s="969" t="s">
        <v>41</v>
      </c>
      <c r="G34" s="925">
        <f t="shared" si="0"/>
        <v>62.4</v>
      </c>
      <c r="H34" s="241">
        <v>57.5</v>
      </c>
      <c r="I34" s="241">
        <v>4.9000000000000004</v>
      </c>
      <c r="J34" s="926">
        <f t="shared" si="2"/>
        <v>0.15995898487567292</v>
      </c>
      <c r="K34" s="927">
        <f t="shared" si="1"/>
        <v>0.43988720840810053</v>
      </c>
      <c r="L34" s="800"/>
    </row>
    <row r="35" spans="1:18" ht="31.9" customHeight="1" x14ac:dyDescent="0.25">
      <c r="A35" s="1376" t="s">
        <v>1231</v>
      </c>
      <c r="B35" s="1377"/>
      <c r="C35" s="1377"/>
      <c r="D35" s="1378"/>
      <c r="F35" s="969" t="s">
        <v>44</v>
      </c>
      <c r="G35" s="925">
        <f t="shared" si="0"/>
        <v>56.8</v>
      </c>
      <c r="H35" s="241">
        <v>50.9</v>
      </c>
      <c r="I35" s="241">
        <v>5.9</v>
      </c>
      <c r="J35" s="926">
        <f t="shared" si="2"/>
        <v>0.14560369136118945</v>
      </c>
      <c r="K35" s="927">
        <f t="shared" si="1"/>
        <v>0.40041015124327095</v>
      </c>
      <c r="L35" s="800"/>
    </row>
    <row r="36" spans="1:18" ht="47.25" x14ac:dyDescent="0.25">
      <c r="A36" s="356" t="s">
        <v>1414</v>
      </c>
      <c r="B36" s="805" t="s">
        <v>350</v>
      </c>
      <c r="C36" s="806" t="s">
        <v>1413</v>
      </c>
      <c r="D36" s="357" t="s">
        <v>1412</v>
      </c>
      <c r="F36" s="969" t="s">
        <v>34</v>
      </c>
      <c r="G36" s="925">
        <f t="shared" si="0"/>
        <v>31.200000000000003</v>
      </c>
      <c r="H36" s="241">
        <v>20.6</v>
      </c>
      <c r="I36" s="241">
        <v>10.6</v>
      </c>
      <c r="J36" s="926">
        <f t="shared" si="2"/>
        <v>7.9979492437836461E-2</v>
      </c>
      <c r="K36" s="927">
        <f t="shared" si="1"/>
        <v>0.27992822353242763</v>
      </c>
      <c r="L36" s="800"/>
    </row>
    <row r="37" spans="1:18" x14ac:dyDescent="0.25">
      <c r="A37" s="418" t="s">
        <v>32</v>
      </c>
      <c r="B37" s="566" t="s">
        <v>621</v>
      </c>
      <c r="C37" s="159">
        <v>1</v>
      </c>
      <c r="D37" s="420">
        <v>3.5</v>
      </c>
      <c r="F37" s="969" t="s">
        <v>20</v>
      </c>
      <c r="G37" s="925">
        <f t="shared" si="0"/>
        <v>34.9</v>
      </c>
      <c r="H37" s="241">
        <v>25.3</v>
      </c>
      <c r="I37" s="241">
        <v>9.6</v>
      </c>
      <c r="J37" s="926">
        <f t="shared" si="2"/>
        <v>8.9464239938477325E-2</v>
      </c>
      <c r="K37" s="927">
        <f t="shared" si="1"/>
        <v>0.2236605998461933</v>
      </c>
      <c r="L37" s="800"/>
    </row>
    <row r="38" spans="1:18" x14ac:dyDescent="0.25">
      <c r="A38" s="418" t="s">
        <v>60</v>
      </c>
      <c r="B38" s="566" t="s">
        <v>621</v>
      </c>
      <c r="C38" s="159">
        <v>2</v>
      </c>
      <c r="D38" s="420">
        <v>3.5</v>
      </c>
      <c r="F38" s="969" t="s">
        <v>27</v>
      </c>
      <c r="G38" s="925">
        <f t="shared" si="0"/>
        <v>32</v>
      </c>
      <c r="H38" s="241">
        <v>18.8</v>
      </c>
      <c r="I38" s="241">
        <v>13.2</v>
      </c>
      <c r="J38" s="926">
        <f t="shared" si="2"/>
        <v>8.2030248654191243E-2</v>
      </c>
      <c r="K38" s="927">
        <f t="shared" si="1"/>
        <v>0.2050756216354781</v>
      </c>
      <c r="L38" s="800"/>
    </row>
    <row r="39" spans="1:18" x14ac:dyDescent="0.25">
      <c r="A39" s="418" t="s">
        <v>41</v>
      </c>
      <c r="B39" s="566" t="s">
        <v>622</v>
      </c>
      <c r="C39" s="159">
        <v>3</v>
      </c>
      <c r="D39" s="420">
        <v>2.75</v>
      </c>
      <c r="F39" s="969" t="s">
        <v>25</v>
      </c>
      <c r="G39" s="925">
        <f t="shared" si="0"/>
        <v>42</v>
      </c>
      <c r="H39" s="241">
        <v>32</v>
      </c>
      <c r="I39" s="241">
        <v>10</v>
      </c>
      <c r="J39" s="926">
        <f t="shared" si="2"/>
        <v>0.10766470135862601</v>
      </c>
      <c r="K39" s="927">
        <f t="shared" si="1"/>
        <v>0.26916175339656501</v>
      </c>
      <c r="L39" s="800"/>
    </row>
    <row r="40" spans="1:18" x14ac:dyDescent="0.25">
      <c r="A40" s="289" t="s">
        <v>44</v>
      </c>
      <c r="B40" s="235" t="s">
        <v>622</v>
      </c>
      <c r="C40" s="159">
        <v>4</v>
      </c>
      <c r="D40" s="420">
        <v>2.75</v>
      </c>
      <c r="F40" s="969" t="s">
        <v>23</v>
      </c>
      <c r="G40" s="925">
        <f t="shared" si="0"/>
        <v>25</v>
      </c>
      <c r="H40" s="241">
        <v>19.8</v>
      </c>
      <c r="I40" s="241">
        <v>5.2</v>
      </c>
      <c r="J40" s="926">
        <f t="shared" si="2"/>
        <v>6.4086131761086906E-2</v>
      </c>
      <c r="K40" s="927">
        <f t="shared" si="1"/>
        <v>0.16021532940271727</v>
      </c>
      <c r="L40" s="800"/>
    </row>
    <row r="41" spans="1:18" x14ac:dyDescent="0.25">
      <c r="A41" s="418" t="s">
        <v>34</v>
      </c>
      <c r="B41" s="566" t="s">
        <v>621</v>
      </c>
      <c r="C41" s="159">
        <v>5</v>
      </c>
      <c r="D41" s="507">
        <v>3.5</v>
      </c>
      <c r="F41" s="920" t="s">
        <v>620</v>
      </c>
      <c r="G41" s="241"/>
      <c r="H41" s="241"/>
      <c r="I41" s="241"/>
      <c r="J41" s="919"/>
      <c r="K41" s="928">
        <f>SUM(K32:K40)</f>
        <v>2.9275826711099722</v>
      </c>
      <c r="L41" s="800"/>
    </row>
    <row r="42" spans="1:18" ht="15.75" thickBot="1" x14ac:dyDescent="0.3">
      <c r="A42" s="418" t="s">
        <v>20</v>
      </c>
      <c r="B42" s="566" t="s">
        <v>623</v>
      </c>
      <c r="C42" s="159">
        <v>6</v>
      </c>
      <c r="D42" s="507">
        <v>2.5</v>
      </c>
      <c r="F42" s="921" t="s">
        <v>603</v>
      </c>
      <c r="G42" s="929">
        <f>H42+I42</f>
        <v>42.3</v>
      </c>
      <c r="H42" s="922">
        <v>34.4</v>
      </c>
      <c r="I42" s="922">
        <v>7.9</v>
      </c>
      <c r="J42" s="923"/>
      <c r="K42" s="924"/>
      <c r="L42" s="800"/>
    </row>
    <row r="43" spans="1:18" x14ac:dyDescent="0.25">
      <c r="A43" s="418" t="s">
        <v>27</v>
      </c>
      <c r="B43" s="566" t="s">
        <v>623</v>
      </c>
      <c r="C43" s="159">
        <v>7</v>
      </c>
      <c r="D43" s="507">
        <v>2.5</v>
      </c>
      <c r="E43" s="802"/>
      <c r="L43" s="799"/>
      <c r="M43" s="800"/>
      <c r="N43" s="800"/>
      <c r="O43" s="800"/>
      <c r="P43" s="480"/>
      <c r="Q43" s="480"/>
      <c r="R43" s="480"/>
    </row>
    <row r="44" spans="1:18" x14ac:dyDescent="0.25">
      <c r="A44" s="418" t="s">
        <v>25</v>
      </c>
      <c r="B44" s="566" t="s">
        <v>623</v>
      </c>
      <c r="C44" s="159">
        <v>8</v>
      </c>
      <c r="D44" s="507">
        <v>2.5</v>
      </c>
      <c r="F44" s="803"/>
      <c r="G44" s="799"/>
      <c r="H44" s="799"/>
      <c r="I44" s="799"/>
      <c r="J44" s="799"/>
      <c r="K44" s="799"/>
    </row>
    <row r="45" spans="1:18" x14ac:dyDescent="0.25">
      <c r="A45" s="418" t="s">
        <v>23</v>
      </c>
      <c r="B45" s="566" t="s">
        <v>623</v>
      </c>
      <c r="C45" s="159">
        <v>9</v>
      </c>
      <c r="D45" s="507">
        <v>2.5</v>
      </c>
      <c r="E45" s="804"/>
      <c r="F45" s="803"/>
      <c r="G45" s="799"/>
      <c r="H45" s="799"/>
      <c r="I45" s="799"/>
      <c r="J45" s="799"/>
      <c r="K45" s="799"/>
      <c r="L45" s="799"/>
      <c r="M45" s="800"/>
      <c r="N45" s="800"/>
      <c r="O45" s="800"/>
      <c r="P45" s="480"/>
      <c r="Q45" s="480"/>
      <c r="R45" s="480"/>
    </row>
    <row r="46" spans="1:18" ht="15.75" thickBot="1" x14ac:dyDescent="0.3">
      <c r="A46" s="861" t="s">
        <v>1229</v>
      </c>
      <c r="B46" s="862"/>
      <c r="C46" s="862"/>
      <c r="D46" s="863">
        <f>K41</f>
        <v>2.9275826711099722</v>
      </c>
      <c r="E46" s="804"/>
      <c r="L46" s="799"/>
      <c r="M46" s="480"/>
      <c r="N46" s="480"/>
      <c r="O46" s="480"/>
      <c r="P46" s="480"/>
      <c r="Q46" s="480"/>
      <c r="R46" s="480"/>
    </row>
    <row r="47" spans="1:18" x14ac:dyDescent="0.25">
      <c r="D47" s="793" t="s">
        <v>1207</v>
      </c>
    </row>
    <row r="49" spans="1:11" ht="15.75" x14ac:dyDescent="0.25">
      <c r="A49" s="20"/>
      <c r="I49" s="159"/>
      <c r="K49" s="6"/>
    </row>
    <row r="50" spans="1:11" ht="15.75" x14ac:dyDescent="0.25">
      <c r="A50" s="14"/>
      <c r="I50" s="159"/>
      <c r="K50" s="6"/>
    </row>
    <row r="51" spans="1:11" ht="15.75" x14ac:dyDescent="0.25">
      <c r="A51" s="14"/>
      <c r="I51" s="159"/>
      <c r="K51" s="6"/>
    </row>
    <row r="52" spans="1:11" x14ac:dyDescent="0.25">
      <c r="A52" s="14"/>
      <c r="I52" s="159"/>
    </row>
    <row r="53" spans="1:11" x14ac:dyDescent="0.25">
      <c r="A53" s="14"/>
      <c r="I53" s="159"/>
    </row>
    <row r="54" spans="1:11" x14ac:dyDescent="0.25">
      <c r="I54" s="159"/>
    </row>
    <row r="55" spans="1:11" x14ac:dyDescent="0.25">
      <c r="A55" s="20"/>
      <c r="I55" s="159"/>
    </row>
    <row r="56" spans="1:11" x14ac:dyDescent="0.25">
      <c r="A56" s="14"/>
      <c r="I56" s="159"/>
    </row>
    <row r="57" spans="1:11" x14ac:dyDescent="0.25">
      <c r="A57" s="14"/>
      <c r="I57" s="159"/>
    </row>
    <row r="58" spans="1:11" x14ac:dyDescent="0.25">
      <c r="A58" s="14"/>
    </row>
    <row r="60" spans="1:11" x14ac:dyDescent="0.25">
      <c r="A60" s="20"/>
    </row>
    <row r="61" spans="1:11" x14ac:dyDescent="0.25">
      <c r="A61" s="14"/>
    </row>
    <row r="62" spans="1:11" x14ac:dyDescent="0.25">
      <c r="A62" s="14"/>
    </row>
    <row r="63" spans="1:11" x14ac:dyDescent="0.25">
      <c r="A63" s="14"/>
    </row>
    <row r="64" spans="1:11" x14ac:dyDescent="0.25">
      <c r="A64" s="14"/>
    </row>
    <row r="66" spans="1:1" x14ac:dyDescent="0.25">
      <c r="A66" s="20"/>
    </row>
    <row r="67" spans="1:1" x14ac:dyDescent="0.25">
      <c r="A67" s="14"/>
    </row>
    <row r="68" spans="1:1" x14ac:dyDescent="0.25">
      <c r="A68" s="14"/>
    </row>
    <row r="69" spans="1:1" x14ac:dyDescent="0.25">
      <c r="A69" s="14"/>
    </row>
    <row r="71" spans="1:1" x14ac:dyDescent="0.25">
      <c r="A71" s="20"/>
    </row>
    <row r="72" spans="1:1" x14ac:dyDescent="0.25">
      <c r="A72" s="14"/>
    </row>
    <row r="73" spans="1:1" x14ac:dyDescent="0.25">
      <c r="A73" s="14"/>
    </row>
    <row r="75" spans="1:1" x14ac:dyDescent="0.25">
      <c r="A75" s="20"/>
    </row>
    <row r="76" spans="1:1" x14ac:dyDescent="0.25">
      <c r="A76" s="14"/>
    </row>
    <row r="77" spans="1:1" x14ac:dyDescent="0.25">
      <c r="A77" s="15"/>
    </row>
    <row r="78" spans="1:1" x14ac:dyDescent="0.25">
      <c r="A78" s="15"/>
    </row>
    <row r="79" spans="1:1" x14ac:dyDescent="0.25">
      <c r="A79" s="15"/>
    </row>
    <row r="80" spans="1:1" x14ac:dyDescent="0.25">
      <c r="A80" s="15"/>
    </row>
    <row r="81" spans="1:1" x14ac:dyDescent="0.25">
      <c r="A81" s="15"/>
    </row>
    <row r="82" spans="1:1" x14ac:dyDescent="0.25">
      <c r="A82" s="14"/>
    </row>
    <row r="83" spans="1:1" x14ac:dyDescent="0.25">
      <c r="A83" s="15"/>
    </row>
    <row r="84" spans="1:1" x14ac:dyDescent="0.25">
      <c r="A84" s="15"/>
    </row>
    <row r="85" spans="1:1" x14ac:dyDescent="0.25">
      <c r="A85" s="15"/>
    </row>
    <row r="86" spans="1:1" x14ac:dyDescent="0.25">
      <c r="A86" s="15"/>
    </row>
    <row r="87" spans="1:1" x14ac:dyDescent="0.25">
      <c r="A87" s="15"/>
    </row>
  </sheetData>
  <autoFilter ref="A36:D36" xr:uid="{39AD9F8C-2289-4205-BFE6-35CA5D631B20}">
    <sortState xmlns:xlrd2="http://schemas.microsoft.com/office/spreadsheetml/2017/richdata2" ref="A37:D46">
      <sortCondition ref="C36"/>
    </sortState>
  </autoFilter>
  <mergeCells count="15">
    <mergeCell ref="A22:B22"/>
    <mergeCell ref="A11:B11"/>
    <mergeCell ref="A35:D35"/>
    <mergeCell ref="A1:A2"/>
    <mergeCell ref="C5:D5"/>
    <mergeCell ref="C6:D6"/>
    <mergeCell ref="C7:D7"/>
    <mergeCell ref="C8:D8"/>
    <mergeCell ref="C12:D12"/>
    <mergeCell ref="C9:D9"/>
    <mergeCell ref="E18:K19"/>
    <mergeCell ref="F28:K28"/>
    <mergeCell ref="F29:K29"/>
    <mergeCell ref="E20:K20"/>
    <mergeCell ref="E21:K21"/>
  </mergeCells>
  <hyperlinks>
    <hyperlink ref="E6" r:id="rId1" xr:uid="{66FA7DB3-9695-4A20-AFA9-740BF3C7E005}"/>
    <hyperlink ref="E7" r:id="rId2" xr:uid="{CAC994F8-E0A9-4E94-A557-31FA3026359C}"/>
    <hyperlink ref="E8" r:id="rId3" xr:uid="{857C06A4-1F8C-4521-958C-9FDE17F6D8E9}"/>
    <hyperlink ref="E9" r:id="rId4" xr:uid="{2830576E-A1F9-484F-A37A-42084C8536F6}"/>
    <hyperlink ref="E10" r:id="rId5" xr:uid="{686D3C04-F9EB-46FA-936E-23E7142E81CC}"/>
    <hyperlink ref="E5" r:id="rId6" xr:uid="{1F8BDB14-0AF0-4CC6-AC88-85D4D178E0F5}"/>
    <hyperlink ref="E11" r:id="rId7" xr:uid="{C9329968-E283-43B2-BD49-1C2DAA5FC7D5}"/>
    <hyperlink ref="E13" r:id="rId8" xr:uid="{A0700FD1-0B07-4502-8B28-3AE3BAF01BA5}"/>
    <hyperlink ref="H5" r:id="rId9" xr:uid="{441BAD82-11A7-4936-A2ED-C78004E400BB}"/>
    <hyperlink ref="E12" r:id="rId10" location="by%20end%20uses " xr:uid="{5BE967BF-9A8D-453A-99D4-8169F160533B}"/>
    <hyperlink ref="D47" location="'24 Mini-Split Air Handler Notes'!K42" display="Link to Weighting Table" xr:uid="{7FB3F2BD-76FF-49B6-A142-A06067CD25CD}"/>
  </hyperlinks>
  <pageMargins left="0.7" right="0.7" top="0.75" bottom="0.75" header="0.3" footer="0.3"/>
  <pageSetup orientation="portrait" r:id="rId11"/>
  <drawing r:id="rId1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177D-AC3B-4A8E-824A-0130BBFA0FFA}">
  <sheetPr codeName="Sheet13">
    <tabColor theme="8" tint="-0.499984740745262"/>
  </sheetPr>
  <dimension ref="A1:O15"/>
  <sheetViews>
    <sheetView workbookViewId="0">
      <selection sqref="A1:C3"/>
    </sheetView>
  </sheetViews>
  <sheetFormatPr defaultColWidth="8.85546875" defaultRowHeight="15" x14ac:dyDescent="0.25"/>
  <cols>
    <col min="1" max="1" width="8.85546875" style="5"/>
    <col min="2" max="2" width="10.28515625" style="5" customWidth="1"/>
    <col min="3" max="13" width="8.85546875" style="5"/>
    <col min="14" max="14" width="39.5703125" style="5" customWidth="1"/>
    <col min="15" max="15" width="19.7109375" style="5" customWidth="1"/>
    <col min="16" max="16384" width="8.85546875" style="5"/>
  </cols>
  <sheetData>
    <row r="1" spans="1:15" ht="36.75" customHeight="1" x14ac:dyDescent="0.25">
      <c r="A1" s="1203" t="s">
        <v>200</v>
      </c>
      <c r="B1" s="1203"/>
      <c r="C1" s="1203"/>
      <c r="D1" s="5" t="s">
        <v>1488</v>
      </c>
      <c r="N1" s="363" t="s">
        <v>516</v>
      </c>
      <c r="O1" s="362"/>
    </row>
    <row r="2" spans="1:15" ht="15" customHeight="1" x14ac:dyDescent="0.25">
      <c r="A2" s="1203"/>
      <c r="B2" s="1203"/>
      <c r="C2" s="1203"/>
    </row>
    <row r="3" spans="1:15" ht="15" customHeight="1" x14ac:dyDescent="0.25">
      <c r="A3" s="1203"/>
      <c r="B3" s="1203"/>
      <c r="C3" s="1203"/>
    </row>
    <row r="4" spans="1:15" ht="15" customHeight="1" x14ac:dyDescent="0.25">
      <c r="B4" s="30" t="s">
        <v>581</v>
      </c>
    </row>
    <row r="5" spans="1:15" ht="15" customHeight="1" x14ac:dyDescent="0.25">
      <c r="B5" s="30" t="s">
        <v>134</v>
      </c>
    </row>
    <row r="6" spans="1:15" x14ac:dyDescent="0.25">
      <c r="B6" s="30" t="s">
        <v>135</v>
      </c>
    </row>
    <row r="7" spans="1:15" x14ac:dyDescent="0.25">
      <c r="I7" s="30"/>
    </row>
    <row r="8" spans="1:15" ht="55.9" customHeight="1" x14ac:dyDescent="0.25">
      <c r="B8" s="1093" t="s">
        <v>1282</v>
      </c>
      <c r="C8" s="1093"/>
      <c r="D8" s="1093"/>
      <c r="E8" s="1093"/>
      <c r="F8" s="1093"/>
    </row>
    <row r="10" spans="1:15" x14ac:dyDescent="0.25">
      <c r="B10" s="5" t="s">
        <v>1415</v>
      </c>
    </row>
    <row r="12" spans="1:15" ht="18.75" x14ac:dyDescent="0.25">
      <c r="B12" s="465" t="s">
        <v>582</v>
      </c>
      <c r="C12" s="69"/>
    </row>
    <row r="13" spans="1:15" ht="18.75" x14ac:dyDescent="0.3">
      <c r="B13" s="1389" t="s">
        <v>138</v>
      </c>
      <c r="C13" s="1390"/>
    </row>
    <row r="14" spans="1:15" x14ac:dyDescent="0.25">
      <c r="B14" s="873" t="s">
        <v>6</v>
      </c>
      <c r="C14" s="874">
        <v>0.25</v>
      </c>
    </row>
    <row r="15" spans="1:15" x14ac:dyDescent="0.25">
      <c r="B15" s="875" t="s">
        <v>7</v>
      </c>
      <c r="C15" s="876">
        <v>0.35</v>
      </c>
    </row>
  </sheetData>
  <mergeCells count="3">
    <mergeCell ref="B13:C13"/>
    <mergeCell ref="A1:C3"/>
    <mergeCell ref="B8:F8"/>
  </mergeCells>
  <hyperlinks>
    <hyperlink ref="B5" r:id="rId1" xr:uid="{C28B2FCC-FEEE-40E4-97EB-45F719A18BF4}"/>
    <hyperlink ref="B6" r:id="rId2" xr:uid="{D5B1641B-F409-42D2-8B6F-48CAE488E0DA}"/>
    <hyperlink ref="B4" r:id="rId3" xr:uid="{AB585647-4657-4CE5-96FF-46A5966BDBB6}"/>
  </hyperlinks>
  <pageMargins left="0.7" right="0.7" top="0.75" bottom="0.75" header="0.3" footer="0.3"/>
  <pageSetup orientation="portrait" r:id="rId4"/>
  <drawing r:id="rId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4F490-A69E-4483-B7AD-645B60E5DDF1}">
  <sheetPr codeName="Sheet21">
    <tabColor theme="8" tint="-0.499984740745262"/>
  </sheetPr>
  <dimension ref="A1:L11"/>
  <sheetViews>
    <sheetView zoomScale="85" zoomScaleNormal="85" workbookViewId="0">
      <selection sqref="A1:C3"/>
    </sheetView>
  </sheetViews>
  <sheetFormatPr defaultColWidth="8.85546875" defaultRowHeight="15" x14ac:dyDescent="0.25"/>
  <cols>
    <col min="1" max="1" width="8.85546875" style="5"/>
    <col min="2" max="2" width="12.85546875" style="5" customWidth="1"/>
    <col min="3" max="3" width="17.7109375" style="5" customWidth="1"/>
    <col min="4" max="4" width="38.7109375" style="5" customWidth="1"/>
    <col min="5" max="5" width="16.28515625" style="5" customWidth="1"/>
    <col min="6" max="6" width="29.5703125" style="5" customWidth="1"/>
    <col min="7" max="9" width="19.7109375" style="5" customWidth="1"/>
    <col min="10" max="10" width="43.42578125" style="32" customWidth="1"/>
    <col min="11" max="11" width="48.7109375" style="5" customWidth="1"/>
    <col min="12" max="12" width="22.140625" style="5" customWidth="1"/>
    <col min="13" max="16384" width="8.85546875" style="5"/>
  </cols>
  <sheetData>
    <row r="1" spans="1:12" ht="42" customHeight="1" x14ac:dyDescent="0.25">
      <c r="A1" s="1203" t="s">
        <v>201</v>
      </c>
      <c r="B1" s="1203"/>
      <c r="C1" s="1203"/>
      <c r="D1" s="5" t="s">
        <v>1489</v>
      </c>
      <c r="K1" s="363" t="s">
        <v>516</v>
      </c>
      <c r="L1" s="362"/>
    </row>
    <row r="2" spans="1:12" x14ac:dyDescent="0.25">
      <c r="A2" s="1203"/>
      <c r="B2" s="1203"/>
      <c r="C2" s="1203"/>
    </row>
    <row r="3" spans="1:12" x14ac:dyDescent="0.25">
      <c r="A3" s="1203"/>
      <c r="B3" s="1203"/>
      <c r="C3" s="1203"/>
    </row>
    <row r="4" spans="1:12" x14ac:dyDescent="0.25">
      <c r="B4" s="63" t="s">
        <v>12</v>
      </c>
      <c r="C4" s="158"/>
      <c r="D4" s="63" t="s">
        <v>3</v>
      </c>
      <c r="E4" s="63" t="s">
        <v>4</v>
      </c>
      <c r="F4" s="24" t="s">
        <v>9</v>
      </c>
      <c r="G4" s="63" t="s">
        <v>10</v>
      </c>
      <c r="H4" s="63" t="s">
        <v>13</v>
      </c>
      <c r="I4" s="20"/>
      <c r="J4" s="4" t="s">
        <v>456</v>
      </c>
    </row>
    <row r="5" spans="1:12" ht="90" x14ac:dyDescent="0.25">
      <c r="B5" s="602" t="s">
        <v>11</v>
      </c>
      <c r="C5" s="24" t="s">
        <v>1235</v>
      </c>
      <c r="F5" s="158"/>
      <c r="G5" s="158"/>
      <c r="H5" s="262" t="s">
        <v>1280</v>
      </c>
      <c r="J5" s="23" t="s">
        <v>1279</v>
      </c>
    </row>
    <row r="6" spans="1:12" x14ac:dyDescent="0.25">
      <c r="B6" s="158"/>
      <c r="C6" s="158"/>
      <c r="D6" s="63" t="s">
        <v>5</v>
      </c>
      <c r="E6" s="158" t="s">
        <v>1271</v>
      </c>
      <c r="F6" s="158"/>
      <c r="G6" s="158"/>
      <c r="H6" s="158" t="s">
        <v>1281</v>
      </c>
    </row>
    <row r="7" spans="1:12" ht="127.5" customHeight="1" x14ac:dyDescent="0.25">
      <c r="B7" s="158"/>
      <c r="C7" s="262" t="s">
        <v>1570</v>
      </c>
      <c r="D7" s="159" t="s">
        <v>6</v>
      </c>
      <c r="E7" s="159" t="s">
        <v>1269</v>
      </c>
      <c r="F7" s="262" t="s">
        <v>1418</v>
      </c>
      <c r="G7" s="159" t="s">
        <v>1416</v>
      </c>
      <c r="H7" s="158"/>
      <c r="J7" s="23" t="s">
        <v>1278</v>
      </c>
    </row>
    <row r="8" spans="1:12" ht="131.25" customHeight="1" x14ac:dyDescent="0.25">
      <c r="B8" s="158"/>
      <c r="C8" s="158"/>
      <c r="D8" s="159" t="s">
        <v>7</v>
      </c>
      <c r="E8" s="159" t="s">
        <v>1270</v>
      </c>
      <c r="F8" s="411">
        <v>100</v>
      </c>
      <c r="G8" s="159" t="s">
        <v>1417</v>
      </c>
      <c r="H8" s="158"/>
      <c r="J8" s="23" t="s">
        <v>1277</v>
      </c>
    </row>
    <row r="9" spans="1:12" ht="178.5" customHeight="1" x14ac:dyDescent="0.25">
      <c r="B9" s="158"/>
      <c r="C9" s="158"/>
      <c r="D9" s="159" t="s">
        <v>8</v>
      </c>
      <c r="E9" s="159" t="s">
        <v>1269</v>
      </c>
      <c r="F9" s="159" t="s">
        <v>1272</v>
      </c>
      <c r="G9" s="159" t="s">
        <v>1272</v>
      </c>
      <c r="H9" s="158"/>
      <c r="J9" s="23" t="s">
        <v>1276</v>
      </c>
    </row>
    <row r="10" spans="1:12" ht="225" x14ac:dyDescent="0.25">
      <c r="B10" s="158"/>
      <c r="C10" s="158"/>
      <c r="D10" s="159" t="s">
        <v>14</v>
      </c>
      <c r="E10" s="159" t="s">
        <v>1268</v>
      </c>
      <c r="F10" s="262" t="s">
        <v>1273</v>
      </c>
      <c r="G10" s="158"/>
      <c r="H10" s="158"/>
      <c r="J10" s="23" t="s">
        <v>1275</v>
      </c>
    </row>
    <row r="11" spans="1:12" ht="285" x14ac:dyDescent="0.25">
      <c r="J11" s="23" t="s">
        <v>1274</v>
      </c>
    </row>
  </sheetData>
  <mergeCells count="1">
    <mergeCell ref="A1:C3"/>
  </mergeCells>
  <phoneticPr fontId="3" type="noConversion"/>
  <hyperlinks>
    <hyperlink ref="B5" r:id="rId1" xr:uid="{C9C8AB0E-CB8D-447F-B1A0-07644B9A5355}"/>
  </hyperlink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96AE3-A93C-44C4-B11D-0A51B0D31084}">
  <sheetPr codeName="Sheet1">
    <tabColor theme="3" tint="0.749992370372631"/>
  </sheetPr>
  <dimension ref="A2:G73"/>
  <sheetViews>
    <sheetView zoomScaleNormal="100" workbookViewId="0"/>
  </sheetViews>
  <sheetFormatPr defaultColWidth="9.140625" defaultRowHeight="15" x14ac:dyDescent="0.25"/>
  <cols>
    <col min="1" max="1" width="9.140625" style="5"/>
    <col min="2" max="2" width="30.85546875" style="5" customWidth="1"/>
    <col min="3" max="3" width="38.140625" style="5" customWidth="1"/>
    <col min="4" max="4" width="88.85546875" style="5" customWidth="1"/>
    <col min="5" max="5" width="7.7109375" style="5" customWidth="1"/>
    <col min="6" max="6" width="67.5703125" style="5" customWidth="1"/>
    <col min="7" max="16384" width="9.140625" style="5"/>
  </cols>
  <sheetData>
    <row r="2" spans="2:6" x14ac:dyDescent="0.25">
      <c r="B2" s="5" t="s">
        <v>288</v>
      </c>
    </row>
    <row r="4" spans="2:6" x14ac:dyDescent="0.25">
      <c r="B4" s="5" t="s">
        <v>1307</v>
      </c>
    </row>
    <row r="5" spans="2:6" x14ac:dyDescent="0.25">
      <c r="B5" s="5" t="s">
        <v>1308</v>
      </c>
    </row>
    <row r="7" spans="2:6" x14ac:dyDescent="0.25">
      <c r="B7" s="5" t="s">
        <v>1309</v>
      </c>
    </row>
    <row r="8" spans="2:6" x14ac:dyDescent="0.25">
      <c r="B8" s="5" t="s">
        <v>1310</v>
      </c>
    </row>
    <row r="9" spans="2:6" x14ac:dyDescent="0.25">
      <c r="B9" s="5" t="s">
        <v>1311</v>
      </c>
      <c r="C9" s="440"/>
    </row>
    <row r="10" spans="2:6" x14ac:dyDescent="0.25">
      <c r="B10" s="5" t="s">
        <v>1312</v>
      </c>
      <c r="C10" s="74"/>
    </row>
    <row r="12" spans="2:6" ht="16.5" thickBot="1" x14ac:dyDescent="0.3">
      <c r="B12" s="84" t="s">
        <v>256</v>
      </c>
      <c r="C12" s="82"/>
      <c r="D12" s="83" t="s">
        <v>258</v>
      </c>
      <c r="E12" s="83"/>
      <c r="F12" s="83" t="s">
        <v>257</v>
      </c>
    </row>
    <row r="13" spans="2:6" ht="105.75" thickTop="1" x14ac:dyDescent="0.25">
      <c r="B13" s="24" t="s">
        <v>224</v>
      </c>
      <c r="D13" s="81" t="s">
        <v>585</v>
      </c>
      <c r="E13" s="81"/>
      <c r="F13" s="75" t="s">
        <v>279</v>
      </c>
    </row>
    <row r="14" spans="2:6" ht="101.25" x14ac:dyDescent="0.25">
      <c r="B14" s="24" t="s">
        <v>225</v>
      </c>
      <c r="D14" s="81" t="s">
        <v>583</v>
      </c>
      <c r="E14" s="81"/>
      <c r="F14" s="75" t="s">
        <v>279</v>
      </c>
    </row>
    <row r="15" spans="2:6" ht="101.25" x14ac:dyDescent="0.25">
      <c r="B15" s="24" t="s">
        <v>552</v>
      </c>
      <c r="D15" s="23" t="s">
        <v>553</v>
      </c>
      <c r="E15" s="23"/>
      <c r="F15" s="75" t="s">
        <v>279</v>
      </c>
    </row>
    <row r="16" spans="2:6" ht="101.25" x14ac:dyDescent="0.25">
      <c r="B16" s="24" t="s">
        <v>554</v>
      </c>
      <c r="D16" s="81" t="s">
        <v>584</v>
      </c>
      <c r="E16" s="81"/>
      <c r="F16" s="75" t="s">
        <v>279</v>
      </c>
    </row>
    <row r="17" spans="1:6" ht="18" customHeight="1" x14ac:dyDescent="0.25">
      <c r="B17" s="62"/>
      <c r="C17" s="76"/>
    </row>
    <row r="18" spans="1:6" ht="101.25" x14ac:dyDescent="0.25">
      <c r="B18" s="4" t="s">
        <v>289</v>
      </c>
      <c r="D18" s="81" t="s">
        <v>897</v>
      </c>
      <c r="E18" s="81"/>
      <c r="F18" s="75" t="s">
        <v>290</v>
      </c>
    </row>
    <row r="19" spans="1:6" x14ac:dyDescent="0.25">
      <c r="B19" s="22"/>
    </row>
    <row r="20" spans="1:6" ht="45" x14ac:dyDescent="0.25">
      <c r="B20" s="24" t="s">
        <v>1599</v>
      </c>
      <c r="D20" s="81" t="s">
        <v>1313</v>
      </c>
    </row>
    <row r="21" spans="1:6" x14ac:dyDescent="0.25">
      <c r="B21" s="42"/>
    </row>
    <row r="22" spans="1:6" ht="16.5" thickBot="1" x14ac:dyDescent="0.3">
      <c r="A22" s="1100" t="s">
        <v>896</v>
      </c>
      <c r="B22" s="1100"/>
      <c r="C22" s="1100"/>
      <c r="D22" s="1100"/>
      <c r="E22" s="1100"/>
      <c r="F22" s="1100"/>
    </row>
    <row r="23" spans="1:6" ht="72" customHeight="1" thickTop="1" x14ac:dyDescent="0.25">
      <c r="A23" s="1101" t="s">
        <v>916</v>
      </c>
      <c r="B23" s="1101"/>
      <c r="C23" s="1102" t="s">
        <v>1314</v>
      </c>
      <c r="D23" s="1102"/>
    </row>
    <row r="24" spans="1:6" x14ac:dyDescent="0.25">
      <c r="A24" s="42"/>
    </row>
    <row r="25" spans="1:6" ht="16.5" customHeight="1" x14ac:dyDescent="0.25">
      <c r="A25" s="1103" t="s">
        <v>898</v>
      </c>
      <c r="B25" s="1103"/>
    </row>
    <row r="26" spans="1:6" ht="13.9" customHeight="1" x14ac:dyDescent="0.25">
      <c r="A26" s="1103"/>
      <c r="B26" s="1103"/>
    </row>
    <row r="27" spans="1:6" x14ac:dyDescent="0.25">
      <c r="A27" s="1099" t="s">
        <v>905</v>
      </c>
      <c r="B27" s="1099"/>
      <c r="C27" s="1099"/>
    </row>
    <row r="28" spans="1:6" x14ac:dyDescent="0.25">
      <c r="A28" s="62"/>
      <c r="B28" s="42" t="s">
        <v>1315</v>
      </c>
    </row>
    <row r="29" spans="1:6" x14ac:dyDescent="0.25">
      <c r="A29" s="62"/>
      <c r="B29" s="42" t="s">
        <v>1316</v>
      </c>
    </row>
    <row r="30" spans="1:6" x14ac:dyDescent="0.25">
      <c r="A30" s="1099" t="s">
        <v>899</v>
      </c>
      <c r="B30" s="1099"/>
    </row>
    <row r="31" spans="1:6" x14ac:dyDescent="0.25">
      <c r="B31" s="42" t="s">
        <v>1337</v>
      </c>
    </row>
    <row r="32" spans="1:6" x14ac:dyDescent="0.25">
      <c r="A32" s="62"/>
    </row>
    <row r="33" spans="1:6" x14ac:dyDescent="0.25">
      <c r="A33" s="62" t="s">
        <v>900</v>
      </c>
    </row>
    <row r="34" spans="1:6" x14ac:dyDescent="0.25">
      <c r="A34" s="62"/>
    </row>
    <row r="35" spans="1:6" x14ac:dyDescent="0.25">
      <c r="A35" s="62"/>
    </row>
    <row r="36" spans="1:6" x14ac:dyDescent="0.25">
      <c r="A36" s="42" t="s">
        <v>1317</v>
      </c>
    </row>
    <row r="37" spans="1:6" ht="33.75" customHeight="1" x14ac:dyDescent="0.25">
      <c r="A37" s="1098" t="s">
        <v>1318</v>
      </c>
      <c r="B37" s="1098"/>
      <c r="C37" s="1098"/>
      <c r="D37" s="24" t="s">
        <v>918</v>
      </c>
    </row>
    <row r="38" spans="1:6" ht="33" customHeight="1" x14ac:dyDescent="0.25">
      <c r="A38" s="4"/>
      <c r="B38" s="4"/>
      <c r="C38" s="20"/>
      <c r="D38" s="1096" t="s">
        <v>906</v>
      </c>
      <c r="E38" s="1096"/>
    </row>
    <row r="39" spans="1:6" ht="18" customHeight="1" x14ac:dyDescent="0.25">
      <c r="A39" s="32"/>
      <c r="B39" s="596"/>
      <c r="D39" s="24" t="s">
        <v>907</v>
      </c>
      <c r="E39" s="1097" t="s">
        <v>908</v>
      </c>
      <c r="F39" s="1097"/>
    </row>
    <row r="40" spans="1:6" ht="23.25" customHeight="1" x14ac:dyDescent="0.25">
      <c r="A40" s="32"/>
      <c r="B40" s="596"/>
      <c r="C40" s="596"/>
      <c r="D40" s="42" t="s">
        <v>911</v>
      </c>
      <c r="E40" s="5" t="s">
        <v>917</v>
      </c>
    </row>
    <row r="41" spans="1:6" x14ac:dyDescent="0.25">
      <c r="A41" s="62"/>
      <c r="D41" s="281" t="s">
        <v>912</v>
      </c>
      <c r="E41" s="5" t="s">
        <v>926</v>
      </c>
    </row>
    <row r="42" spans="1:6" x14ac:dyDescent="0.25">
      <c r="A42" s="62"/>
      <c r="D42" s="5" t="s">
        <v>909</v>
      </c>
      <c r="E42" s="5" t="s">
        <v>919</v>
      </c>
    </row>
    <row r="43" spans="1:6" x14ac:dyDescent="0.25">
      <c r="D43" s="5" t="s">
        <v>910</v>
      </c>
      <c r="E43" s="5" t="s">
        <v>920</v>
      </c>
    </row>
    <row r="44" spans="1:6" x14ac:dyDescent="0.25">
      <c r="D44" s="5" t="s">
        <v>913</v>
      </c>
      <c r="E44" s="5" t="s">
        <v>921</v>
      </c>
    </row>
    <row r="45" spans="1:6" x14ac:dyDescent="0.25">
      <c r="D45" s="5" t="s">
        <v>914</v>
      </c>
      <c r="E45" s="5" t="s">
        <v>922</v>
      </c>
    </row>
    <row r="46" spans="1:6" x14ac:dyDescent="0.25">
      <c r="D46" s="5" t="s">
        <v>915</v>
      </c>
      <c r="E46" s="5" t="s">
        <v>923</v>
      </c>
    </row>
    <row r="47" spans="1:6" x14ac:dyDescent="0.25">
      <c r="A47" s="5" t="s">
        <v>1319</v>
      </c>
    </row>
    <row r="48" spans="1:6" ht="32.25" customHeight="1" x14ac:dyDescent="0.25">
      <c r="A48" s="1095" t="s">
        <v>1320</v>
      </c>
      <c r="B48" s="1095"/>
      <c r="C48" s="1095"/>
    </row>
    <row r="50" spans="1:7" x14ac:dyDescent="0.25">
      <c r="A50" s="62" t="s">
        <v>901</v>
      </c>
    </row>
    <row r="51" spans="1:7" ht="28.5" customHeight="1" x14ac:dyDescent="0.25">
      <c r="A51" s="1093" t="s">
        <v>902</v>
      </c>
      <c r="B51" s="1093"/>
    </row>
    <row r="52" spans="1:7" ht="28.5" customHeight="1" x14ac:dyDescent="0.25">
      <c r="A52" s="1093" t="s">
        <v>1321</v>
      </c>
      <c r="B52" s="1093"/>
    </row>
    <row r="53" spans="1:7" ht="55.5" customHeight="1" x14ac:dyDescent="0.25">
      <c r="A53" s="1093" t="s">
        <v>1322</v>
      </c>
      <c r="B53" s="1093"/>
    </row>
    <row r="54" spans="1:7" x14ac:dyDescent="0.25">
      <c r="A54" s="62"/>
    </row>
    <row r="55" spans="1:7" x14ac:dyDescent="0.25">
      <c r="A55" s="62" t="s">
        <v>903</v>
      </c>
    </row>
    <row r="56" spans="1:7" ht="32.25" customHeight="1" x14ac:dyDescent="0.25">
      <c r="A56" s="1093" t="s">
        <v>1323</v>
      </c>
      <c r="B56" s="1093"/>
    </row>
    <row r="57" spans="1:7" x14ac:dyDescent="0.25">
      <c r="A57" s="62"/>
      <c r="D57" s="24" t="s">
        <v>918</v>
      </c>
    </row>
    <row r="58" spans="1:7" ht="30" x14ac:dyDescent="0.25">
      <c r="A58" s="1099" t="s">
        <v>904</v>
      </c>
      <c r="B58" s="1099"/>
      <c r="D58" s="160" t="s">
        <v>991</v>
      </c>
    </row>
    <row r="59" spans="1:7" ht="29.25" customHeight="1" x14ac:dyDescent="0.25">
      <c r="A59" s="1093" t="s">
        <v>1324</v>
      </c>
      <c r="B59" s="1093"/>
      <c r="D59" s="24" t="s">
        <v>907</v>
      </c>
      <c r="F59" s="1097" t="s">
        <v>908</v>
      </c>
      <c r="G59" s="1097"/>
    </row>
    <row r="60" spans="1:7" ht="31.5" customHeight="1" x14ac:dyDescent="0.25">
      <c r="A60" s="1095" t="s">
        <v>1325</v>
      </c>
      <c r="B60" s="1095"/>
      <c r="C60" s="32"/>
      <c r="D60" s="5" t="s">
        <v>924</v>
      </c>
      <c r="F60" s="5" t="s">
        <v>927</v>
      </c>
    </row>
    <row r="61" spans="1:7" ht="34.5" customHeight="1" x14ac:dyDescent="0.25">
      <c r="A61" s="1095" t="s">
        <v>1326</v>
      </c>
      <c r="B61" s="1095"/>
      <c r="C61" s="32"/>
      <c r="D61" s="5" t="s">
        <v>992</v>
      </c>
      <c r="F61" s="5" t="s">
        <v>928</v>
      </c>
    </row>
    <row r="62" spans="1:7" x14ac:dyDescent="0.25">
      <c r="B62" s="62"/>
    </row>
    <row r="63" spans="1:7" x14ac:dyDescent="0.25">
      <c r="A63" s="1094" t="s">
        <v>925</v>
      </c>
      <c r="B63" s="1094"/>
    </row>
    <row r="64" spans="1:7" ht="45.75" customHeight="1" x14ac:dyDescent="0.25">
      <c r="A64" s="1093" t="s">
        <v>1327</v>
      </c>
      <c r="B64" s="1093"/>
    </row>
    <row r="65" spans="1:2" ht="32.25" customHeight="1" x14ac:dyDescent="0.25">
      <c r="A65" s="1093" t="s">
        <v>1328</v>
      </c>
      <c r="B65" s="1093"/>
    </row>
    <row r="66" spans="1:2" ht="48.75" customHeight="1" x14ac:dyDescent="0.25">
      <c r="A66" s="1093" t="s">
        <v>1329</v>
      </c>
      <c r="B66" s="1093"/>
    </row>
    <row r="67" spans="1:2" ht="32.25" customHeight="1" x14ac:dyDescent="0.25">
      <c r="A67" s="1093" t="s">
        <v>1330</v>
      </c>
      <c r="B67" s="1093"/>
    </row>
    <row r="68" spans="1:2" ht="45.75" customHeight="1" x14ac:dyDescent="0.25">
      <c r="A68" s="1093" t="s">
        <v>1331</v>
      </c>
      <c r="B68" s="1093"/>
    </row>
    <row r="69" spans="1:2" ht="76.5" customHeight="1" x14ac:dyDescent="0.25">
      <c r="A69" s="1093" t="s">
        <v>1332</v>
      </c>
      <c r="B69" s="1093"/>
    </row>
    <row r="70" spans="1:2" ht="31.5" customHeight="1" x14ac:dyDescent="0.25">
      <c r="A70" s="1093" t="s">
        <v>1333</v>
      </c>
      <c r="B70" s="1093"/>
    </row>
    <row r="71" spans="1:2" ht="30.75" customHeight="1" x14ac:dyDescent="0.25">
      <c r="A71" s="1093" t="s">
        <v>1334</v>
      </c>
      <c r="B71" s="1093"/>
    </row>
    <row r="72" spans="1:2" ht="46.5" customHeight="1" x14ac:dyDescent="0.25">
      <c r="A72" s="1093" t="s">
        <v>1335</v>
      </c>
      <c r="B72" s="1093"/>
    </row>
    <row r="73" spans="1:2" ht="31.5" customHeight="1" x14ac:dyDescent="0.25">
      <c r="A73" s="1093" t="s">
        <v>1336</v>
      </c>
      <c r="B73" s="1093"/>
    </row>
  </sheetData>
  <mergeCells count="30">
    <mergeCell ref="A22:F22"/>
    <mergeCell ref="A23:B23"/>
    <mergeCell ref="C23:D23"/>
    <mergeCell ref="A25:B26"/>
    <mergeCell ref="A30:B30"/>
    <mergeCell ref="A27:C27"/>
    <mergeCell ref="D38:E38"/>
    <mergeCell ref="E39:F39"/>
    <mergeCell ref="A37:C37"/>
    <mergeCell ref="A58:B58"/>
    <mergeCell ref="F59:G59"/>
    <mergeCell ref="A48:C48"/>
    <mergeCell ref="A53:B53"/>
    <mergeCell ref="A59:B59"/>
    <mergeCell ref="A73:B73"/>
    <mergeCell ref="A70:B70"/>
    <mergeCell ref="A51:B51"/>
    <mergeCell ref="A52:B52"/>
    <mergeCell ref="A66:B66"/>
    <mergeCell ref="A67:B67"/>
    <mergeCell ref="A68:B68"/>
    <mergeCell ref="A69:B69"/>
    <mergeCell ref="A64:B64"/>
    <mergeCell ref="A65:B65"/>
    <mergeCell ref="A63:B63"/>
    <mergeCell ref="A60:B60"/>
    <mergeCell ref="A61:B61"/>
    <mergeCell ref="A56:B56"/>
    <mergeCell ref="A71:B71"/>
    <mergeCell ref="A72:B7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465A0-D485-45B9-85F3-2536B0D3D6AD}">
  <sheetPr codeName="Sheet14">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46.5"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281</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Costs'!$C$20:$AW$20)</f>
        <v>4464.747740615855</v>
      </c>
      <c r="G10" s="140" cm="1">
        <f t="array" ref="G10">SUMPRODUCT(ISNUMBER( SEARCH('13 Space Heating Costs'!$C$7:$AW$7,'12 Space Heating Subcomponents'!I12)) *'13 Space Heating Costs'!$C$20:$AW$20)</f>
        <v>6004.5602229086544</v>
      </c>
      <c r="H10" s="140" cm="1">
        <f t="array" ref="H10">SUMPRODUCT(ISNUMBER( SEARCH('13 Space Heating Costs'!$C$7:$AW$7,'12 Space Heating Subcomponents'!J12)) *'13 Space Heating Costs'!$C$20:$AW$20)</f>
        <v>7879.5602229086544</v>
      </c>
      <c r="I10" s="140" cm="1">
        <f t="array" ref="I10">SUMPRODUCT(ISNUMBER( SEARCH('13 Space Heating Costs'!$C$7:$AW$7,'12 Space Heating Subcomponents'!K12)) *'13 Space Heating Costs'!$C$20:$AW$20)</f>
        <v>3649.0014523673685</v>
      </c>
      <c r="J10" s="140" cm="1">
        <f t="array" ref="J10">SUMPRODUCT(ISNUMBER( SEARCH('13 Space Heating Costs'!$C$7:$AW$7,'12 Space Heating Subcomponents'!L12)) *'13 Space Heating Costs'!$C$20:$AW$20)</f>
        <v>7013.8139346601683</v>
      </c>
      <c r="K10" s="140" cm="1">
        <f t="array" ref="K10">SUMPRODUCT(ISNUMBER( SEARCH('13 Space Heating Costs'!$C$7:$AW$7,'12 Space Heating Subcomponents'!M12)) *'13 Space Heating Costs'!$C$20:$AW$20)</f>
        <v>4199.001452367369</v>
      </c>
      <c r="L10" s="140" cm="1">
        <f t="array" ref="L10">SUMPRODUCT(ISNUMBER( SEARCH('13 Space Heating Costs'!$C$7:$AW$7,'12 Space Heating Subcomponents'!N12)) *'13 Space Heating Costs'!$C$20:$AW$20)</f>
        <v>7788.718125893186</v>
      </c>
      <c r="M10" s="140" cm="1">
        <f t="array" ref="M10">SUMPRODUCT(ISNUMBER( SEARCH('13 Space Heating Costs'!$C$7:$AW$7,'12 Space Heating Subcomponents'!O12)) *'13 Space Heating Costs'!$C$20:$AW$20)</f>
        <v>4199.001452367369</v>
      </c>
      <c r="N10" s="140" cm="1">
        <f t="array" ref="N10">SUMPRODUCT(ISNUMBER( SEARCH('13 Space Heating Costs'!$C$7:$AW$7,'12 Space Heating Subcomponents'!P12)) *'13 Space Heating Costs'!$C$20:$AW$20)</f>
        <v>4114.747740615855</v>
      </c>
      <c r="O10" s="402" cm="1">
        <f t="array" ref="O10">SUMPRODUCT(ISNUMBER( SEARCH('13 Space Heating Costs'!$C$7:$AW$7,'12 Space Heating Subcomponents'!Q12)) *'13 Space Heating Costs'!$C$20:$AW$20)</f>
        <v>9863.8139346601674</v>
      </c>
      <c r="P10" s="72"/>
      <c r="Q10" s="1105"/>
      <c r="R10" s="181" t="s">
        <v>242</v>
      </c>
      <c r="S10" s="181" t="s">
        <v>243</v>
      </c>
      <c r="T10" s="139"/>
      <c r="U10" s="140" cm="1">
        <f t="array" ref="U10">SUMPRODUCT(ISNUMBER( SEARCH('13 Space Heating Costs'!$C$7:$AW$7,'12 Space Heating Subcomponents'!H28)) *'13 Space Heating Costs'!$C$20:$AW$20)</f>
        <v>5187.9936906159983</v>
      </c>
      <c r="V10" s="140" cm="1">
        <f t="array" ref="V10">SUMPRODUCT(ISNUMBER( SEARCH('13 Space Heating Costs'!$C$7:$AW$7,'12 Space Heating Subcomponents'!I28)) *'13 Space Heating Costs'!$C$20:$AW$20)</f>
        <v>6727.8061729087976</v>
      </c>
      <c r="W10" s="140" cm="1">
        <f t="array" ref="W10">SUMPRODUCT(ISNUMBER( SEARCH('13 Space Heating Costs'!$C$7:$AW$7,'12 Space Heating Subcomponents'!J28)) *'13 Space Heating Costs'!$C$20:$AW$20)</f>
        <v>8602.8061729087967</v>
      </c>
      <c r="X10" s="140" cm="1">
        <f t="array" ref="X10">SUMPRODUCT(ISNUMBER( SEARCH('13 Space Heating Costs'!$C$7:$AW$7,'12 Space Heating Subcomponents'!K28)) *'13 Space Heating Costs'!$C$20:$AW$20)</f>
        <v>4372.2474023675113</v>
      </c>
      <c r="Y10" s="140" cm="1">
        <f t="array" ref="Y10">SUMPRODUCT(ISNUMBER( SEARCH('13 Space Heating Costs'!$C$7:$AW$7,'12 Space Heating Subcomponents'!L28)) *'13 Space Heating Costs'!$C$20:$AW$20)</f>
        <v>7737.0598846603116</v>
      </c>
      <c r="Z10" s="140" cm="1">
        <f t="array" ref="Z10">SUMPRODUCT(ISNUMBER( SEARCH('13 Space Heating Costs'!$C$7:$AW$7,'12 Space Heating Subcomponents'!M28)) *'13 Space Heating Costs'!$C$20:$AW$20)</f>
        <v>4922.2474023675113</v>
      </c>
      <c r="AA10" s="140" cm="1">
        <f t="array" ref="AA10">SUMPRODUCT(ISNUMBER( SEARCH('13 Space Heating Costs'!$C$7:$AW$7,'12 Space Heating Subcomponents'!N28)) *'13 Space Heating Costs'!$C$20:$AW$20)</f>
        <v>8511.9640758933292</v>
      </c>
      <c r="AB10" s="140" cm="1">
        <f t="array" ref="AB10">SUMPRODUCT(ISNUMBER( SEARCH('13 Space Heating Costs'!$C$7:$AW$7,'12 Space Heating Subcomponents'!O28)) *'13 Space Heating Costs'!$C$20:$AW$20)</f>
        <v>4922.2474023675113</v>
      </c>
      <c r="AC10" s="140" cm="1">
        <f t="array" ref="AC10">SUMPRODUCT(ISNUMBER( SEARCH('13 Space Heating Costs'!$C$7:$AW$7,'12 Space Heating Subcomponents'!P28)) *'13 Space Heating Costs'!$C$20:$AW$20)</f>
        <v>4837.9936906159983</v>
      </c>
      <c r="AD10" s="402" cm="1">
        <f t="array" ref="AD10">SUMPRODUCT(ISNUMBER( SEARCH('13 Space Heating Costs'!$C$7:$AW$7,'12 Space Heating Subcomponents'!Q28)) *'13 Space Heating Costs'!$C$20:$AW$20)</f>
        <v>10587.059884660312</v>
      </c>
      <c r="AE10" s="72"/>
      <c r="AF10" s="1105"/>
      <c r="AG10" s="181" t="s">
        <v>242</v>
      </c>
      <c r="AH10" s="181" t="s">
        <v>243</v>
      </c>
      <c r="AI10" s="139"/>
      <c r="AJ10" s="140" cm="1">
        <f t="array" ref="AJ10">SUMPRODUCT(ISNUMBER( SEARCH('13 Space Heating Costs'!$C$7:$AW$7,'12 Space Heating Subcomponents'!H44)) *'13 Space Heating Costs'!$C$20:$AW$20)</f>
        <v>3873.105441676611</v>
      </c>
      <c r="AK10" s="140" cm="1">
        <f t="array" ref="AK10">SUMPRODUCT(ISNUMBER( SEARCH('13 Space Heating Costs'!$C$7:$AW$7,'12 Space Heating Subcomponents'!I44)) *'13 Space Heating Costs'!$C$20:$AW$20)</f>
        <v>5412.9179239694104</v>
      </c>
      <c r="AL10" s="140" cm="1">
        <f t="array" ref="AL10">SUMPRODUCT(ISNUMBER( SEARCH('13 Space Heating Costs'!$C$7:$AW$7,'12 Space Heating Subcomponents'!J44)) *'13 Space Heating Costs'!$C$20:$AW$20)</f>
        <v>7287.9179239694104</v>
      </c>
      <c r="AM10" s="140" cm="1">
        <f t="array" ref="AM10">SUMPRODUCT(ISNUMBER( SEARCH('13 Space Heating Costs'!$C$7:$AW$7,'12 Space Heating Subcomponents'!K44)) *'13 Space Heating Costs'!$C$20:$AW$20)</f>
        <v>3057.359153428124</v>
      </c>
      <c r="AN10" s="140" cm="1">
        <f t="array" ref="AN10">SUMPRODUCT(ISNUMBER( SEARCH('13 Space Heating Costs'!$C$7:$AW$7,'12 Space Heating Subcomponents'!L44)) *'13 Space Heating Costs'!$C$20:$AW$20)</f>
        <v>6422.1716357209243</v>
      </c>
      <c r="AO10" s="140" cm="1">
        <f t="array" ref="AO10">SUMPRODUCT(ISNUMBER( SEARCH('13 Space Heating Costs'!$C$7:$AW$7,'12 Space Heating Subcomponents'!M44)) *'13 Space Heating Costs'!$C$20:$AW$20)</f>
        <v>3607.359153428124</v>
      </c>
      <c r="AP10" s="140" cm="1">
        <f t="array" ref="AP10">SUMPRODUCT(ISNUMBER( SEARCH('13 Space Heating Costs'!$C$7:$AW$7,'12 Space Heating Subcomponents'!N44)) *'13 Space Heating Costs'!$C$20:$AW$20)</f>
        <v>7197.0758269539419</v>
      </c>
      <c r="AQ10" s="140" cm="1">
        <f t="array" ref="AQ10">SUMPRODUCT(ISNUMBER( SEARCH('13 Space Heating Costs'!$C$7:$AW$7,'12 Space Heating Subcomponents'!O44)) *'13 Space Heating Costs'!$C$20:$AW$20)</f>
        <v>3607.359153428124</v>
      </c>
      <c r="AR10" s="140" cm="1">
        <f t="array" ref="AR10">SUMPRODUCT(ISNUMBER( SEARCH('13 Space Heating Costs'!$C$7:$AW$7,'12 Space Heating Subcomponents'!P44)) *'13 Space Heating Costs'!$C$20:$AW$20)</f>
        <v>3523.105441676611</v>
      </c>
      <c r="AS10" s="402" cm="1">
        <f t="array" ref="AS10">SUMPRODUCT(ISNUMBER( SEARCH('13 Space Heating Costs'!$C$7:$AW$7,'12 Space Heating Subcomponents'!Q44)) *'13 Space Heating Costs'!$C$20:$AW$20)</f>
        <v>9272.1716357209243</v>
      </c>
      <c r="AT10" s="72"/>
    </row>
    <row r="11" spans="1:46" ht="200.1" customHeight="1" x14ac:dyDescent="0.25">
      <c r="A11" s="60"/>
      <c r="B11" s="1105"/>
      <c r="C11" s="182" t="s">
        <v>244</v>
      </c>
      <c r="D11" s="182" t="s">
        <v>243</v>
      </c>
      <c r="E11" s="140" cm="1">
        <f t="array" ref="E11">SUMPRODUCT(ISNUMBER( SEARCH('13 Space Heating Costs'!$C$7:$AW$7,'12 Space Heating Subcomponents'!G13)) *'13 Space Heating Costs'!$C$20:$AW$20)</f>
        <v>3511.9641425495656</v>
      </c>
      <c r="F11" s="139"/>
      <c r="G11" s="140" cm="1">
        <f t="array" ref="G11">SUMPRODUCT(ISNUMBER( SEARCH('13 Space Heating Costs'!$C$7:$AW$7,'12 Space Heating Subcomponents'!I13)) *'13 Space Heating Costs'!$C$20:$AW$20)</f>
        <v>6920.109958175698</v>
      </c>
      <c r="H11" s="140" cm="1">
        <f t="array" ref="H11">SUMPRODUCT(ISNUMBER( SEARCH('13 Space Heating Costs'!$C$7:$AW$7,'12 Space Heating Subcomponents'!J13)) *'13 Space Heating Costs'!$C$20:$AW$20)</f>
        <v>7237.5904198112048</v>
      </c>
      <c r="I11" s="140" cm="1">
        <f t="array" ref="I11">SUMPRODUCT(ISNUMBER( SEARCH('13 Space Heating Costs'!$C$7:$AW$7,'12 Space Heating Subcomponents'!K13)) *'13 Space Heating Costs'!$C$20:$AW$20)</f>
        <v>4014.5511876344117</v>
      </c>
      <c r="J11" s="140" cm="1">
        <f t="array" ref="J11">SUMPRODUCT(ISNUMBER( SEARCH('13 Space Heating Costs'!$C$7:$AW$7,'12 Space Heating Subcomponents'!L13)) *'13 Space Heating Costs'!$C$20:$AW$20)</f>
        <v>7379.363669927212</v>
      </c>
      <c r="K11" s="140" cm="1">
        <f t="array" ref="K11">SUMPRODUCT(ISNUMBER( SEARCH('13 Space Heating Costs'!$C$7:$AW$7,'12 Space Heating Subcomponents'!M13)) *'13 Space Heating Costs'!$C$20:$AW$20)</f>
        <v>4564.5511876344117</v>
      </c>
      <c r="L11" s="140" cm="1">
        <f t="array" ref="L11">SUMPRODUCT(ISNUMBER( SEARCH('13 Space Heating Costs'!$C$7:$AW$7,'12 Space Heating Subcomponents'!N13)) *'13 Space Heating Costs'!$C$20:$AW$20)</f>
        <v>8154.2678611602296</v>
      </c>
      <c r="M11" s="140" cm="1">
        <f t="array" ref="M11">SUMPRODUCT(ISNUMBER( SEARCH('13 Space Heating Costs'!$C$7:$AW$7,'12 Space Heating Subcomponents'!O13)) *'13 Space Heating Costs'!$C$20:$AW$20)</f>
        <v>4564.5511876344117</v>
      </c>
      <c r="N11" s="140" cm="1">
        <f t="array" ref="N11">SUMPRODUCT(ISNUMBER( SEARCH('13 Space Heating Costs'!$C$7:$AW$7,'12 Space Heating Subcomponents'!P13)) *'13 Space Heating Costs'!$C$20:$AW$20)</f>
        <v>4480.2974758828987</v>
      </c>
      <c r="O11" s="402" cm="1">
        <f t="array" ref="O11">SUMPRODUCT(ISNUMBER( SEARCH('13 Space Heating Costs'!$C$7:$AW$7,'12 Space Heating Subcomponents'!Q13)) *'13 Space Heating Costs'!$C$20:$AW$20)</f>
        <v>6814.5511876344117</v>
      </c>
      <c r="P11" s="72"/>
      <c r="Q11" s="1105"/>
      <c r="R11" s="182" t="s">
        <v>244</v>
      </c>
      <c r="S11" s="182" t="s">
        <v>243</v>
      </c>
      <c r="T11" s="140" cm="1">
        <f t="array" ref="T11">SUMPRODUCT(ISNUMBER( SEARCH('13 Space Heating Costs'!$C$7:$AW$7,'12 Space Heating Subcomponents'!G29)) *'13 Space Heating Costs'!$C$20:$AW$20)</f>
        <v>4452.1798956471584</v>
      </c>
      <c r="U11" s="139"/>
      <c r="V11" s="140" cm="1">
        <f t="array" ref="V11">SUMPRODUCT(ISNUMBER( SEARCH('13 Space Heating Costs'!$C$7:$AW$7,'12 Space Heating Subcomponents'!I29)) *'13 Space Heating Costs'!$C$20:$AW$20)</f>
        <v>7860.3257112732908</v>
      </c>
      <c r="W11" s="140" cm="1">
        <f t="array" ref="W11">SUMPRODUCT(ISNUMBER( SEARCH('13 Space Heating Costs'!$C$7:$AW$7,'12 Space Heating Subcomponents'!J29)) *'13 Space Heating Costs'!$C$20:$AW$20)</f>
        <v>8177.8061729087976</v>
      </c>
      <c r="X11" s="140" cm="1">
        <f t="array" ref="X11">SUMPRODUCT(ISNUMBER( SEARCH('13 Space Heating Costs'!$C$7:$AW$7,'12 Space Heating Subcomponents'!K29)) *'13 Space Heating Costs'!$C$20:$AW$20)</f>
        <v>4954.7669407320045</v>
      </c>
      <c r="Y11" s="140" cm="1">
        <f t="array" ref="Y11">SUMPRODUCT(ISNUMBER( SEARCH('13 Space Heating Costs'!$C$7:$AW$7,'12 Space Heating Subcomponents'!L29)) *'13 Space Heating Costs'!$C$20:$AW$20)</f>
        <v>8319.5794230248048</v>
      </c>
      <c r="Z11" s="140" cm="1">
        <f t="array" ref="Z11">SUMPRODUCT(ISNUMBER( SEARCH('13 Space Heating Costs'!$C$7:$AW$7,'12 Space Heating Subcomponents'!M29)) *'13 Space Heating Costs'!$C$20:$AW$20)</f>
        <v>5504.7669407320045</v>
      </c>
      <c r="AA11" s="140" cm="1">
        <f t="array" ref="AA11">SUMPRODUCT(ISNUMBER( SEARCH('13 Space Heating Costs'!$C$7:$AW$7,'12 Space Heating Subcomponents'!N29)) *'13 Space Heating Costs'!$C$20:$AW$20)</f>
        <v>9094.4836142578224</v>
      </c>
      <c r="AB11" s="140" cm="1">
        <f t="array" ref="AB11">SUMPRODUCT(ISNUMBER( SEARCH('13 Space Heating Costs'!$C$7:$AW$7,'12 Space Heating Subcomponents'!O29)) *'13 Space Heating Costs'!$C$20:$AW$20)</f>
        <v>5504.7669407320045</v>
      </c>
      <c r="AC11" s="140" cm="1">
        <f t="array" ref="AC11">SUMPRODUCT(ISNUMBER( SEARCH('13 Space Heating Costs'!$C$7:$AW$7,'12 Space Heating Subcomponents'!P29)) *'13 Space Heating Costs'!$C$20:$AW$20)</f>
        <v>5420.5132289804915</v>
      </c>
      <c r="AD11" s="402" cm="1">
        <f t="array" ref="AD11">SUMPRODUCT(ISNUMBER( SEARCH('13 Space Heating Costs'!$C$7:$AW$7,'12 Space Heating Subcomponents'!Q29)) *'13 Space Heating Costs'!$C$20:$AW$20)</f>
        <v>7754.7669407320045</v>
      </c>
      <c r="AE11" s="72"/>
      <c r="AF11" s="1105"/>
      <c r="AG11" s="182" t="s">
        <v>244</v>
      </c>
      <c r="AH11" s="182" t="s">
        <v>243</v>
      </c>
      <c r="AI11" s="140" cm="1">
        <f t="array" ref="AI11">SUMPRODUCT(ISNUMBER( SEARCH('13 Space Heating Costs'!$C$7:$AW$7,'12 Space Heating Subcomponents'!G45)) *'13 Space Heating Costs'!$C$20:$AW$20)</f>
        <v>3137.2916467077712</v>
      </c>
      <c r="AJ11" s="139"/>
      <c r="AK11" s="140" cm="1">
        <f t="array" ref="AK11">SUMPRODUCT(ISNUMBER( SEARCH('13 Space Heating Costs'!$C$7:$AW$7,'12 Space Heating Subcomponents'!I45)) *'13 Space Heating Costs'!$C$20:$AW$20)</f>
        <v>6545.4374623339036</v>
      </c>
      <c r="AL11" s="140" cm="1">
        <f t="array" ref="AL11">SUMPRODUCT(ISNUMBER( SEARCH('13 Space Heating Costs'!$C$7:$AW$7,'12 Space Heating Subcomponents'!J45)) *'13 Space Heating Costs'!$C$20:$AW$20)</f>
        <v>6862.9179239694104</v>
      </c>
      <c r="AM11" s="140" cm="1">
        <f t="array" ref="AM11">SUMPRODUCT(ISNUMBER( SEARCH('13 Space Heating Costs'!$C$7:$AW$7,'12 Space Heating Subcomponents'!K45)) *'13 Space Heating Costs'!$C$20:$AW$20)</f>
        <v>3639.8786917926172</v>
      </c>
      <c r="AN11" s="140" cm="1">
        <f t="array" ref="AN11">SUMPRODUCT(ISNUMBER( SEARCH('13 Space Heating Costs'!$C$7:$AW$7,'12 Space Heating Subcomponents'!L45)) *'13 Space Heating Costs'!$C$20:$AW$20)</f>
        <v>7004.6911740854175</v>
      </c>
      <c r="AO11" s="140" cm="1">
        <f t="array" ref="AO11">SUMPRODUCT(ISNUMBER( SEARCH('13 Space Heating Costs'!$C$7:$AW$7,'12 Space Heating Subcomponents'!M45)) *'13 Space Heating Costs'!$C$20:$AW$20)</f>
        <v>4189.8786917926172</v>
      </c>
      <c r="AP11" s="140" cm="1">
        <f t="array" ref="AP11">SUMPRODUCT(ISNUMBER( SEARCH('13 Space Heating Costs'!$C$7:$AW$7,'12 Space Heating Subcomponents'!N45)) *'13 Space Heating Costs'!$C$20:$AW$20)</f>
        <v>7779.5953653184351</v>
      </c>
      <c r="AQ11" s="140" cm="1">
        <f t="array" ref="AQ11">SUMPRODUCT(ISNUMBER( SEARCH('13 Space Heating Costs'!$C$7:$AW$7,'12 Space Heating Subcomponents'!O45)) *'13 Space Heating Costs'!$C$20:$AW$20)</f>
        <v>4189.8786917926172</v>
      </c>
      <c r="AR11" s="140" cm="1">
        <f t="array" ref="AR11">SUMPRODUCT(ISNUMBER( SEARCH('13 Space Heating Costs'!$C$7:$AW$7,'12 Space Heating Subcomponents'!P45)) *'13 Space Heating Costs'!$C$20:$AW$20)</f>
        <v>4105.6249800411042</v>
      </c>
      <c r="AS11" s="402" cm="1">
        <f t="array" ref="AS11">SUMPRODUCT(ISNUMBER( SEARCH('13 Space Heating Costs'!$C$7:$AW$7,'12 Space Heating Subcomponents'!Q45)) *'13 Space Heating Costs'!$C$20:$AW$20)</f>
        <v>6439.8786917926172</v>
      </c>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Costs'!$C$20:$AW$20)</f>
        <v>8968.4244775817024</v>
      </c>
      <c r="F12" s="140" cm="1">
        <f t="array" ref="F12">SUMPRODUCT(ISNUMBER( SEARCH('13 Space Heating Costs'!$C$7:$AW$7,'12 Space Heating Subcomponents'!H14)) *'13 Space Heating Costs'!$C$20:$AW$20)</f>
        <v>10836.757810915034</v>
      </c>
      <c r="G12" s="142"/>
      <c r="H12" s="140" cm="1">
        <f t="array" ref="H12">SUMPRODUCT(ISNUMBER( SEARCH('13 Space Heating Costs'!$C$7:$AW$7,'12 Space Heating Subcomponents'!J14)) *'13 Space Heating Costs'!$C$20:$AW$20)</f>
        <v>3939.6339209978187</v>
      </c>
      <c r="I12" s="140" cm="1">
        <f t="array" ref="I12">SUMPRODUCT(ISNUMBER( SEARCH('13 Space Heating Costs'!$C$7:$AW$7,'12 Space Heating Subcomponents'!K14)) *'13 Space Heating Costs'!$C$20:$AW$20)</f>
        <v>9095.2246506123556</v>
      </c>
      <c r="J12" s="140" cm="1">
        <f t="array" ref="J12">SUMPRODUCT(ISNUMBER( SEARCH('13 Space Heating Costs'!$C$7:$AW$7,'12 Space Heating Subcomponents'!L14)) *'13 Space Heating Costs'!$C$20:$AW$20)</f>
        <v>9045.2246506123556</v>
      </c>
      <c r="K12" s="140" cm="1">
        <f t="array" ref="K12">SUMPRODUCT(ISNUMBER( SEARCH('13 Space Heating Costs'!$C$7:$AW$7,'12 Space Heating Subcomponents'!M14)) *'13 Space Heating Costs'!$C$20:$AW$20)</f>
        <v>10571.011522666548</v>
      </c>
      <c r="L12" s="140" cm="1">
        <f t="array" ref="L12">SUMPRODUCT(ISNUMBER( SEARCH('13 Space Heating Costs'!$C$7:$AW$7,'12 Space Heating Subcomponents'!N14)) *'13 Space Heating Costs'!$C$20:$AW$20)</f>
        <v>9820.1288418453732</v>
      </c>
      <c r="M12" s="140" cm="1">
        <f t="array" ref="M12">SUMPRODUCT(ISNUMBER( SEARCH('13 Space Heating Costs'!$C$7:$AW$7,'12 Space Heating Subcomponents'!O14)) *'13 Space Heating Costs'!$C$20:$AW$20)</f>
        <v>10571.011522666548</v>
      </c>
      <c r="N12" s="140" cm="1">
        <f t="array" ref="N12">SUMPRODUCT(ISNUMBER( SEARCH('13 Space Heating Costs'!$C$7:$AW$7,'12 Space Heating Subcomponents'!P14)) *'13 Space Heating Costs'!$C$20:$AW$20)</f>
        <v>10486.757810915034</v>
      </c>
      <c r="O12" s="402" cm="1">
        <f t="array" ref="O12">SUMPRODUCT(ISNUMBER( SEARCH('13 Space Heating Costs'!$C$7:$AW$7,'12 Space Heating Subcomponents'!Q14)) *'13 Space Heating Costs'!$C$20:$AW$20)</f>
        <v>15310.037132905156</v>
      </c>
      <c r="P12" s="72"/>
      <c r="Q12" s="1105"/>
      <c r="R12" s="181" t="s">
        <v>242</v>
      </c>
      <c r="S12" s="181" t="s">
        <v>245</v>
      </c>
      <c r="T12" s="140" cm="1">
        <f t="array" ref="T12">SUMPRODUCT(ISNUMBER( SEARCH('13 Space Heating Costs'!$C$7:$AW$7,'12 Space Heating Subcomponents'!G30)) *'13 Space Heating Costs'!$C$20:$AW$20)</f>
        <v>9441.7842471998811</v>
      </c>
      <c r="U12" s="140" cm="1">
        <f t="array" ref="U12">SUMPRODUCT(ISNUMBER( SEARCH('13 Space Heating Costs'!$C$7:$AW$7,'12 Space Heating Subcomponents'!H30)) *'13 Space Heating Costs'!$C$20:$AW$20)</f>
        <v>11310.117580533215</v>
      </c>
      <c r="V12" s="142"/>
      <c r="W12" s="140" cm="1">
        <f t="array" ref="W12">SUMPRODUCT(ISNUMBER( SEARCH('13 Space Heating Costs'!$C$7:$AW$7,'12 Space Heating Subcomponents'!J30)) *'13 Space Heating Costs'!$C$20:$AW$20)</f>
        <v>4412.9936906159983</v>
      </c>
      <c r="X12" s="140" cm="1">
        <f t="array" ref="X12">SUMPRODUCT(ISNUMBER( SEARCH('13 Space Heating Costs'!$C$7:$AW$7,'12 Space Heating Subcomponents'!K30)) *'13 Space Heating Costs'!$C$20:$AW$20)</f>
        <v>9568.5844202305361</v>
      </c>
      <c r="Y12" s="140" cm="1">
        <f t="array" ref="Y12">SUMPRODUCT(ISNUMBER( SEARCH('13 Space Heating Costs'!$C$7:$AW$7,'12 Space Heating Subcomponents'!L30)) *'13 Space Heating Costs'!$C$20:$AW$20)</f>
        <v>9518.5844202305361</v>
      </c>
      <c r="Z12" s="140" cm="1">
        <f t="array" ref="Z12">SUMPRODUCT(ISNUMBER( SEARCH('13 Space Heating Costs'!$C$7:$AW$7,'12 Space Heating Subcomponents'!M30)) *'13 Space Heating Costs'!$C$20:$AW$20)</f>
        <v>11044.371292284728</v>
      </c>
      <c r="AA12" s="140" cm="1">
        <f t="array" ref="AA12">SUMPRODUCT(ISNUMBER( SEARCH('13 Space Heating Costs'!$C$7:$AW$7,'12 Space Heating Subcomponents'!N30)) *'13 Space Heating Costs'!$C$20:$AW$20)</f>
        <v>10293.488611463554</v>
      </c>
      <c r="AB12" s="140" cm="1">
        <f t="array" ref="AB12">SUMPRODUCT(ISNUMBER( SEARCH('13 Space Heating Costs'!$C$7:$AW$7,'12 Space Heating Subcomponents'!O30)) *'13 Space Heating Costs'!$C$20:$AW$20)</f>
        <v>11044.371292284728</v>
      </c>
      <c r="AC12" s="140" cm="1">
        <f t="array" ref="AC12">SUMPRODUCT(ISNUMBER( SEARCH('13 Space Heating Costs'!$C$7:$AW$7,'12 Space Heating Subcomponents'!P30)) *'13 Space Heating Costs'!$C$20:$AW$20)</f>
        <v>10960.117580533215</v>
      </c>
      <c r="AD12" s="402" cm="1">
        <f t="array" ref="AD12">SUMPRODUCT(ISNUMBER( SEARCH('13 Space Heating Costs'!$C$7:$AW$7,'12 Space Heating Subcomponents'!Q30)) *'13 Space Heating Costs'!$C$20:$AW$20)</f>
        <v>15783.396902523336</v>
      </c>
      <c r="AE12" s="72"/>
      <c r="AF12" s="1105"/>
      <c r="AG12" s="181" t="s">
        <v>242</v>
      </c>
      <c r="AH12" s="181" t="s">
        <v>245</v>
      </c>
      <c r="AI12" s="140" cm="1">
        <f t="array" ref="AI12">SUMPRODUCT(ISNUMBER( SEARCH('13 Space Heating Costs'!$C$7:$AW$7,'12 Space Heating Subcomponents'!G46)) *'13 Space Heating Costs'!$C$20:$AW$20)</f>
        <v>8126.8959982604938</v>
      </c>
      <c r="AJ12" s="140" cm="1">
        <f t="array" ref="AJ12">SUMPRODUCT(ISNUMBER( SEARCH('13 Space Heating Costs'!$C$7:$AW$7,'12 Space Heating Subcomponents'!H46)) *'13 Space Heating Costs'!$C$20:$AW$20)</f>
        <v>9995.2293315938277</v>
      </c>
      <c r="AK12" s="142"/>
      <c r="AL12" s="140" cm="1">
        <f t="array" ref="AL12">SUMPRODUCT(ISNUMBER( SEARCH('13 Space Heating Costs'!$C$7:$AW$7,'12 Space Heating Subcomponents'!J46)) *'13 Space Heating Costs'!$C$20:$AW$20)</f>
        <v>3098.105441676611</v>
      </c>
      <c r="AM12" s="140" cm="1">
        <f t="array" ref="AM12">SUMPRODUCT(ISNUMBER( SEARCH('13 Space Heating Costs'!$C$7:$AW$7,'12 Space Heating Subcomponents'!K46)) *'13 Space Heating Costs'!$C$20:$AW$20)</f>
        <v>8253.6961712911489</v>
      </c>
      <c r="AN12" s="140" cm="1">
        <f t="array" ref="AN12">SUMPRODUCT(ISNUMBER( SEARCH('13 Space Heating Costs'!$C$7:$AW$7,'12 Space Heating Subcomponents'!L46)) *'13 Space Heating Costs'!$C$20:$AW$20)</f>
        <v>8203.6961712911489</v>
      </c>
      <c r="AO12" s="140" cm="1">
        <f t="array" ref="AO12">SUMPRODUCT(ISNUMBER( SEARCH('13 Space Heating Costs'!$C$7:$AW$7,'12 Space Heating Subcomponents'!M46)) *'13 Space Heating Costs'!$C$20:$AW$20)</f>
        <v>9729.4830433453408</v>
      </c>
      <c r="AP12" s="140" cm="1">
        <f t="array" ref="AP12">SUMPRODUCT(ISNUMBER( SEARCH('13 Space Heating Costs'!$C$7:$AW$7,'12 Space Heating Subcomponents'!N46)) *'13 Space Heating Costs'!$C$20:$AW$20)</f>
        <v>8978.6003625241665</v>
      </c>
      <c r="AQ12" s="140" cm="1">
        <f t="array" ref="AQ12">SUMPRODUCT(ISNUMBER( SEARCH('13 Space Heating Costs'!$C$7:$AW$7,'12 Space Heating Subcomponents'!O46)) *'13 Space Heating Costs'!$C$20:$AW$20)</f>
        <v>9729.4830433453408</v>
      </c>
      <c r="AR12" s="140" cm="1">
        <f t="array" ref="AR12">SUMPRODUCT(ISNUMBER( SEARCH('13 Space Heating Costs'!$C$7:$AW$7,'12 Space Heating Subcomponents'!P46)) *'13 Space Heating Costs'!$C$20:$AW$20)</f>
        <v>9645.2293315938277</v>
      </c>
      <c r="AS12" s="402" cm="1">
        <f t="array" ref="AS12">SUMPRODUCT(ISNUMBER( SEARCH('13 Space Heating Costs'!$C$7:$AW$7,'12 Space Heating Subcomponents'!Q46)) *'13 Space Heating Costs'!$C$20:$AW$20)</f>
        <v>14468.508653583949</v>
      </c>
      <c r="AT12" s="72"/>
    </row>
    <row r="13" spans="1:46" ht="200.1" customHeight="1" x14ac:dyDescent="0.25">
      <c r="A13" s="60"/>
      <c r="B13" s="1105"/>
      <c r="C13" s="182" t="s">
        <v>244</v>
      </c>
      <c r="D13" s="182" t="s">
        <v>245</v>
      </c>
      <c r="E13" s="140" cm="1">
        <f t="array" ref="E13">SUMPRODUCT(ISNUMBER( SEARCH('13 Space Heating Costs'!$C$7:$AW$7,'12 Space Heating Subcomponents'!G15)) *'13 Space Heating Costs'!$C$20:$AW$20)</f>
        <v>10551.277210235799</v>
      </c>
      <c r="F13" s="140" cm="1">
        <f t="array" ref="F13">SUMPRODUCT(ISNUMBER( SEARCH('13 Space Heating Costs'!$C$7:$AW$7,'12 Space Heating Subcomponents'!H15)) *'13 Space Heating Costs'!$C$20:$AW$20)</f>
        <v>10862.09100520464</v>
      </c>
      <c r="G13" s="140" cm="1">
        <f t="array" ref="G13">SUMPRODUCT(ISNUMBER( SEARCH('13 Space Heating Costs'!$C$7:$AW$7,'12 Space Heating Subcomponents'!I15)) *'13 Space Heating Costs'!$C$20:$AW$20)</f>
        <v>3647.4866536519171</v>
      </c>
      <c r="H13" s="139"/>
      <c r="I13" s="140" cm="1">
        <f t="array" ref="I13">SUMPRODUCT(ISNUMBER( SEARCH('13 Space Heating Costs'!$C$7:$AW$7,'12 Space Heating Subcomponents'!K15)) *'13 Space Heating Costs'!$C$20:$AW$20)</f>
        <v>10128.077383266454</v>
      </c>
      <c r="J13" s="140" cm="1">
        <f t="array" ref="J13">SUMPRODUCT(ISNUMBER( SEARCH('13 Space Heating Costs'!$C$7:$AW$7,'12 Space Heating Subcomponents'!L15)) *'13 Space Heating Costs'!$C$20:$AW$20)</f>
        <v>10078.077383266454</v>
      </c>
      <c r="K13" s="140" cm="1">
        <f t="array" ref="K13">SUMPRODUCT(ISNUMBER( SEARCH('13 Space Heating Costs'!$C$7:$AW$7,'12 Space Heating Subcomponents'!M15)) *'13 Space Heating Costs'!$C$20:$AW$20)</f>
        <v>10678.077383266454</v>
      </c>
      <c r="L13" s="140" cm="1">
        <f t="array" ref="L13">SUMPRODUCT(ISNUMBER( SEARCH('13 Space Heating Costs'!$C$7:$AW$7,'12 Space Heating Subcomponents'!N15)) *'13 Space Heating Costs'!$C$20:$AW$20)</f>
        <v>10852.981574499472</v>
      </c>
      <c r="M13" s="140" cm="1">
        <f t="array" ref="M13">SUMPRODUCT(ISNUMBER( SEARCH('13 Space Heating Costs'!$C$7:$AW$7,'12 Space Heating Subcomponents'!O15)) *'13 Space Heating Costs'!$C$20:$AW$20)</f>
        <v>10678.077383266454</v>
      </c>
      <c r="N13" s="140" cm="1">
        <f t="array" ref="N13">SUMPRODUCT(ISNUMBER( SEARCH('13 Space Heating Costs'!$C$7:$AW$7,'12 Space Heating Subcomponents'!P15)) *'13 Space Heating Costs'!$C$20:$AW$20)</f>
        <v>11519.610543569133</v>
      </c>
      <c r="O13" s="402" cm="1">
        <f t="array" ref="O13">SUMPRODUCT(ISNUMBER( SEARCH('13 Space Heating Costs'!$C$7:$AW$7,'12 Space Heating Subcomponents'!Q15)) *'13 Space Heating Costs'!$C$20:$AW$20)</f>
        <v>12928.077383266454</v>
      </c>
      <c r="P13" s="72"/>
      <c r="Q13" s="1105"/>
      <c r="R13" s="182" t="s">
        <v>244</v>
      </c>
      <c r="S13" s="182" t="s">
        <v>245</v>
      </c>
      <c r="T13" s="140" cm="1">
        <f t="array" ref="T13">SUMPRODUCT(ISNUMBER( SEARCH('13 Space Heating Costs'!$C$7:$AW$7,'12 Space Heating Subcomponents'!G31)) *'13 Space Heating Costs'!$C$20:$AW$20)</f>
        <v>10624.303785564374</v>
      </c>
      <c r="U13" s="140" cm="1">
        <f t="array" ref="U13">SUMPRODUCT(ISNUMBER( SEARCH('13 Space Heating Costs'!$C$7:$AW$7,'12 Space Heating Subcomponents'!H31)) *'13 Space Heating Costs'!$C$20:$AW$20)</f>
        <v>10935.117580533215</v>
      </c>
      <c r="V13" s="140" cm="1">
        <f t="array" ref="V13">SUMPRODUCT(ISNUMBER( SEARCH('13 Space Heating Costs'!$C$7:$AW$7,'12 Space Heating Subcomponents'!I31)) *'13 Space Heating Costs'!$C$20:$AW$20)</f>
        <v>3720.5132289804915</v>
      </c>
      <c r="W13" s="139"/>
      <c r="X13" s="140" cm="1">
        <f t="array" ref="X13">SUMPRODUCT(ISNUMBER( SEARCH('13 Space Heating Costs'!$C$7:$AW$7,'12 Space Heating Subcomponents'!K31)) *'13 Space Heating Costs'!$C$20:$AW$20)</f>
        <v>10201.103958595029</v>
      </c>
      <c r="Y13" s="140" cm="1">
        <f t="array" ref="Y13">SUMPRODUCT(ISNUMBER( SEARCH('13 Space Heating Costs'!$C$7:$AW$7,'12 Space Heating Subcomponents'!L31)) *'13 Space Heating Costs'!$C$20:$AW$20)</f>
        <v>10151.103958595029</v>
      </c>
      <c r="Z13" s="140" cm="1">
        <f t="array" ref="Z13">SUMPRODUCT(ISNUMBER( SEARCH('13 Space Heating Costs'!$C$7:$AW$7,'12 Space Heating Subcomponents'!M31)) *'13 Space Heating Costs'!$C$20:$AW$20)</f>
        <v>10751.103958595029</v>
      </c>
      <c r="AA13" s="140" cm="1">
        <f t="array" ref="AA13">SUMPRODUCT(ISNUMBER( SEARCH('13 Space Heating Costs'!$C$7:$AW$7,'12 Space Heating Subcomponents'!N31)) *'13 Space Heating Costs'!$C$20:$AW$20)</f>
        <v>10926.008149828047</v>
      </c>
      <c r="AB13" s="140" cm="1">
        <f t="array" ref="AB13">SUMPRODUCT(ISNUMBER( SEARCH('13 Space Heating Costs'!$C$7:$AW$7,'12 Space Heating Subcomponents'!O31)) *'13 Space Heating Costs'!$C$20:$AW$20)</f>
        <v>10751.103958595029</v>
      </c>
      <c r="AC13" s="140" cm="1">
        <f t="array" ref="AC13">SUMPRODUCT(ISNUMBER( SEARCH('13 Space Heating Costs'!$C$7:$AW$7,'12 Space Heating Subcomponents'!P31)) *'13 Space Heating Costs'!$C$20:$AW$20)</f>
        <v>11592.637118897708</v>
      </c>
      <c r="AD13" s="402" cm="1">
        <f t="array" ref="AD13">SUMPRODUCT(ISNUMBER( SEARCH('13 Space Heating Costs'!$C$7:$AW$7,'12 Space Heating Subcomponents'!Q31)) *'13 Space Heating Costs'!$C$20:$AW$20)</f>
        <v>13001.103958595029</v>
      </c>
      <c r="AE13" s="72"/>
      <c r="AF13" s="1105"/>
      <c r="AG13" s="182" t="s">
        <v>244</v>
      </c>
      <c r="AH13" s="182" t="s">
        <v>245</v>
      </c>
      <c r="AI13" s="140" cm="1">
        <f t="array" ref="AI13">SUMPRODUCT(ISNUMBER( SEARCH('13 Space Heating Costs'!$C$7:$AW$7,'12 Space Heating Subcomponents'!G47)) *'13 Space Heating Costs'!$C$20:$AW$20)</f>
        <v>9309.415536624987</v>
      </c>
      <c r="AJ13" s="140" cm="1">
        <f t="array" ref="AJ13">SUMPRODUCT(ISNUMBER( SEARCH('13 Space Heating Costs'!$C$7:$AW$7,'12 Space Heating Subcomponents'!H47)) *'13 Space Heating Costs'!$C$20:$AW$20)</f>
        <v>9620.2293315938277</v>
      </c>
      <c r="AK13" s="140" cm="1">
        <f t="array" ref="AK13">SUMPRODUCT(ISNUMBER( SEARCH('13 Space Heating Costs'!$C$7:$AW$7,'12 Space Heating Subcomponents'!I47)) *'13 Space Heating Costs'!$C$20:$AW$20)</f>
        <v>2405.6249800411042</v>
      </c>
      <c r="AL13" s="139"/>
      <c r="AM13" s="140" cm="1">
        <f t="array" ref="AM13">SUMPRODUCT(ISNUMBER( SEARCH('13 Space Heating Costs'!$C$7:$AW$7,'12 Space Heating Subcomponents'!K47)) *'13 Space Heating Costs'!$C$20:$AW$20)</f>
        <v>8886.2157096556421</v>
      </c>
      <c r="AN13" s="140" cm="1">
        <f t="array" ref="AN13">SUMPRODUCT(ISNUMBER( SEARCH('13 Space Heating Costs'!$C$7:$AW$7,'12 Space Heating Subcomponents'!L47)) *'13 Space Heating Costs'!$C$20:$AW$20)</f>
        <v>8836.2157096556421</v>
      </c>
      <c r="AO13" s="140" cm="1">
        <f t="array" ref="AO13">SUMPRODUCT(ISNUMBER( SEARCH('13 Space Heating Costs'!$C$7:$AW$7,'12 Space Heating Subcomponents'!M47)) *'13 Space Heating Costs'!$C$20:$AW$20)</f>
        <v>9436.2157096556421</v>
      </c>
      <c r="AP13" s="140" cm="1">
        <f t="array" ref="AP13">SUMPRODUCT(ISNUMBER( SEARCH('13 Space Heating Costs'!$C$7:$AW$7,'12 Space Heating Subcomponents'!N47)) *'13 Space Heating Costs'!$C$20:$AW$20)</f>
        <v>9611.1199008886597</v>
      </c>
      <c r="AQ13" s="140" cm="1">
        <f t="array" ref="AQ13">SUMPRODUCT(ISNUMBER( SEARCH('13 Space Heating Costs'!$C$7:$AW$7,'12 Space Heating Subcomponents'!O47)) *'13 Space Heating Costs'!$C$20:$AW$20)</f>
        <v>9436.2157096556421</v>
      </c>
      <c r="AR13" s="140" cm="1">
        <f t="array" ref="AR13">SUMPRODUCT(ISNUMBER( SEARCH('13 Space Heating Costs'!$C$7:$AW$7,'12 Space Heating Subcomponents'!P47)) *'13 Space Heating Costs'!$C$20:$AW$20)</f>
        <v>10277.748869958321</v>
      </c>
      <c r="AS13" s="402" cm="1">
        <f t="array" ref="AS13">SUMPRODUCT(ISNUMBER( SEARCH('13 Space Heating Costs'!$C$7:$AW$7,'12 Space Heating Subcomponents'!Q47)) *'13 Space Heating Costs'!$C$20:$AW$20)</f>
        <v>11686.215709655642</v>
      </c>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Costs'!$C$20:$AW$20)</f>
        <v>2034.2767401195345</v>
      </c>
      <c r="F14" s="140" cm="1">
        <f t="array" ref="F14">SUMPRODUCT(ISNUMBER( SEARCH('13 Space Heating Costs'!$C$7:$AW$7,'12 Space Heating Subcomponents'!H16)) *'13 Space Heating Costs'!$C$20:$AW$20)</f>
        <v>3352.6100734528677</v>
      </c>
      <c r="G14" s="140" cm="1">
        <f t="array" ref="G14">SUMPRODUCT(ISNUMBER( SEARCH('13 Space Heating Costs'!$C$7:$AW$7,'12 Space Heating Subcomponents'!I16)) *'13 Space Heating Costs'!$C$20:$AW$20)</f>
        <v>5442.4225557456666</v>
      </c>
      <c r="H14" s="140" cm="1">
        <f t="array" ref="H14">SUMPRODUCT(ISNUMBER( SEARCH('13 Space Heating Costs'!$C$7:$AW$7,'12 Space Heating Subcomponents'!J16)) *'13 Space Heating Costs'!$C$20:$AW$20)</f>
        <v>6767.4225557456666</v>
      </c>
      <c r="I14" s="142"/>
      <c r="J14" s="140" cm="1">
        <f t="array" ref="J14">SUMPRODUCT(ISNUMBER( SEARCH('13 Space Heating Costs'!$C$7:$AW$7,'12 Space Heating Subcomponents'!L16)) *'13 Space Heating Costs'!$C$20:$AW$20)</f>
        <v>5242.4225557456666</v>
      </c>
      <c r="K14" s="140" cm="1">
        <f t="array" ref="K14">SUMPRODUCT(ISNUMBER( SEARCH('13 Space Heating Costs'!$C$7:$AW$7,'12 Space Heating Subcomponents'!M16)) *'13 Space Heating Costs'!$C$20:$AW$20)</f>
        <v>2427.6100734528677</v>
      </c>
      <c r="L14" s="140" cm="1">
        <f t="array" ref="L14">SUMPRODUCT(ISNUMBER( SEARCH('13 Space Heating Costs'!$C$7:$AW$7,'12 Space Heating Subcomponents'!N16)) *'13 Space Heating Costs'!$C$20:$AW$20)</f>
        <v>6017.3267469786842</v>
      </c>
      <c r="M14" s="140" cm="1">
        <f t="array" ref="M14">SUMPRODUCT(ISNUMBER( SEARCH('13 Space Heating Costs'!$C$7:$AW$7,'12 Space Heating Subcomponents'!O16)) *'13 Space Heating Costs'!$C$20:$AW$20)</f>
        <v>2427.6100734528677</v>
      </c>
      <c r="N14" s="140" cm="1">
        <f t="array" ref="N14">SUMPRODUCT(ISNUMBER( SEARCH('13 Space Heating Costs'!$C$7:$AW$7,'12 Space Heating Subcomponents'!P16)) *'13 Space Heating Costs'!$C$20:$AW$20)</f>
        <v>3002.6100734528677</v>
      </c>
      <c r="O14" s="402" cm="1">
        <f t="array" ref="O14">SUMPRODUCT(ISNUMBER( SEARCH('13 Space Heating Costs'!$C$7:$AW$7,'12 Space Heating Subcomponents'!Q16)) *'13 Space Heating Costs'!$C$20:$AW$20)</f>
        <v>7289.8124822927994</v>
      </c>
      <c r="P14" s="72"/>
      <c r="Q14" s="1105"/>
      <c r="R14" s="182" t="s">
        <v>246</v>
      </c>
      <c r="S14" s="182" t="s">
        <v>243</v>
      </c>
      <c r="T14" s="140" cm="1">
        <f t="array" ref="T14">SUMPRODUCT(ISNUMBER( SEARCH('13 Space Heating Costs'!$C$7:$AW$7,'12 Space Heating Subcomponents'!G32)) *'13 Space Heating Costs'!$C$20:$AW$20)</f>
        <v>2034.2767401195345</v>
      </c>
      <c r="U14" s="140" cm="1">
        <f t="array" ref="U14">SUMPRODUCT(ISNUMBER( SEARCH('13 Space Heating Costs'!$C$7:$AW$7,'12 Space Heating Subcomponents'!H32)) *'13 Space Heating Costs'!$C$20:$AW$20)</f>
        <v>3352.6100734528677</v>
      </c>
      <c r="V14" s="140" cm="1">
        <f t="array" ref="V14">SUMPRODUCT(ISNUMBER( SEARCH('13 Space Heating Costs'!$C$7:$AW$7,'12 Space Heating Subcomponents'!I32)) *'13 Space Heating Costs'!$C$20:$AW$20)</f>
        <v>5442.4225557456666</v>
      </c>
      <c r="W14" s="140" cm="1">
        <f t="array" ref="W14">SUMPRODUCT(ISNUMBER( SEARCH('13 Space Heating Costs'!$C$7:$AW$7,'12 Space Heating Subcomponents'!J32)) *'13 Space Heating Costs'!$C$20:$AW$20)</f>
        <v>6767.4225557456666</v>
      </c>
      <c r="X14" s="142"/>
      <c r="Y14" s="140" cm="1">
        <f t="array" ref="Y14">SUMPRODUCT(ISNUMBER( SEARCH('13 Space Heating Costs'!$C$7:$AW$7,'12 Space Heating Subcomponents'!L32)) *'13 Space Heating Costs'!$C$20:$AW$20)</f>
        <v>5242.4225557456666</v>
      </c>
      <c r="Z14" s="140" cm="1">
        <f t="array" ref="Z14">SUMPRODUCT(ISNUMBER( SEARCH('13 Space Heating Costs'!$C$7:$AW$7,'12 Space Heating Subcomponents'!M32)) *'13 Space Heating Costs'!$C$20:$AW$20)</f>
        <v>2427.6100734528677</v>
      </c>
      <c r="AA14" s="140" cm="1">
        <f t="array" ref="AA14">SUMPRODUCT(ISNUMBER( SEARCH('13 Space Heating Costs'!$C$7:$AW$7,'12 Space Heating Subcomponents'!N32)) *'13 Space Heating Costs'!$C$20:$AW$20)</f>
        <v>6017.3267469786842</v>
      </c>
      <c r="AB14" s="140" cm="1">
        <f t="array" ref="AB14">SUMPRODUCT(ISNUMBER( SEARCH('13 Space Heating Costs'!$C$7:$AW$7,'12 Space Heating Subcomponents'!O32)) *'13 Space Heating Costs'!$C$20:$AW$20)</f>
        <v>2427.6100734528677</v>
      </c>
      <c r="AC14" s="140" cm="1">
        <f t="array" ref="AC14">SUMPRODUCT(ISNUMBER( SEARCH('13 Space Heating Costs'!$C$7:$AW$7,'12 Space Heating Subcomponents'!P32)) *'13 Space Heating Costs'!$C$20:$AW$20)</f>
        <v>3002.6100734528677</v>
      </c>
      <c r="AD14" s="402" cm="1">
        <f t="array" ref="AD14">SUMPRODUCT(ISNUMBER( SEARCH('13 Space Heating Costs'!$C$7:$AW$7,'12 Space Heating Subcomponents'!Q32)) *'13 Space Heating Costs'!$C$20:$AW$20)</f>
        <v>7289.8124822927994</v>
      </c>
      <c r="AE14" s="72"/>
      <c r="AF14" s="1105"/>
      <c r="AG14" s="182" t="s">
        <v>246</v>
      </c>
      <c r="AH14" s="182" t="s">
        <v>243</v>
      </c>
      <c r="AI14" s="140" cm="1">
        <f t="array" ref="AI14">SUMPRODUCT(ISNUMBER( SEARCH('13 Space Heating Costs'!$C$7:$AW$7,'12 Space Heating Subcomponents'!G48)) *'13 Space Heating Costs'!$C$20:$AW$20)</f>
        <v>2034.2767401195345</v>
      </c>
      <c r="AJ14" s="140" cm="1">
        <f t="array" ref="AJ14">SUMPRODUCT(ISNUMBER( SEARCH('13 Space Heating Costs'!$C$7:$AW$7,'12 Space Heating Subcomponents'!H48)) *'13 Space Heating Costs'!$C$20:$AW$20)</f>
        <v>3352.6100734528677</v>
      </c>
      <c r="AK14" s="140" cm="1">
        <f t="array" ref="AK14">SUMPRODUCT(ISNUMBER( SEARCH('13 Space Heating Costs'!$C$7:$AW$7,'12 Space Heating Subcomponents'!I48)) *'13 Space Heating Costs'!$C$20:$AW$20)</f>
        <v>5442.4225557456666</v>
      </c>
      <c r="AL14" s="140" cm="1">
        <f t="array" ref="AL14">SUMPRODUCT(ISNUMBER( SEARCH('13 Space Heating Costs'!$C$7:$AW$7,'12 Space Heating Subcomponents'!J48)) *'13 Space Heating Costs'!$C$20:$AW$20)</f>
        <v>6767.4225557456666</v>
      </c>
      <c r="AM14" s="142"/>
      <c r="AN14" s="140" cm="1">
        <f t="array" ref="AN14">SUMPRODUCT(ISNUMBER( SEARCH('13 Space Heating Costs'!$C$7:$AW$7,'12 Space Heating Subcomponents'!L48)) *'13 Space Heating Costs'!$C$20:$AW$20)</f>
        <v>5242.4225557456666</v>
      </c>
      <c r="AO14" s="140" cm="1">
        <f t="array" ref="AO14">SUMPRODUCT(ISNUMBER( SEARCH('13 Space Heating Costs'!$C$7:$AW$7,'12 Space Heating Subcomponents'!M48)) *'13 Space Heating Costs'!$C$20:$AW$20)</f>
        <v>2427.6100734528677</v>
      </c>
      <c r="AP14" s="140" cm="1">
        <f t="array" ref="AP14">SUMPRODUCT(ISNUMBER( SEARCH('13 Space Heating Costs'!$C$7:$AW$7,'12 Space Heating Subcomponents'!N48)) *'13 Space Heating Costs'!$C$20:$AW$20)</f>
        <v>6017.3267469786842</v>
      </c>
      <c r="AQ14" s="140" cm="1">
        <f t="array" ref="AQ14">SUMPRODUCT(ISNUMBER( SEARCH('13 Space Heating Costs'!$C$7:$AW$7,'12 Space Heating Subcomponents'!O48)) *'13 Space Heating Costs'!$C$20:$AW$20)</f>
        <v>2427.6100734528677</v>
      </c>
      <c r="AR14" s="140" cm="1">
        <f t="array" ref="AR14">SUMPRODUCT(ISNUMBER( SEARCH('13 Space Heating Costs'!$C$7:$AW$7,'12 Space Heating Subcomponents'!P48)) *'13 Space Heating Costs'!$C$20:$AW$20)</f>
        <v>3002.6100734528677</v>
      </c>
      <c r="AS14" s="402" cm="1">
        <f t="array" ref="AS14">SUMPRODUCT(ISNUMBER( SEARCH('13 Space Heating Costs'!$C$7:$AW$7,'12 Space Heating Subcomponents'!Q48)) *'13 Space Heating Costs'!$C$20:$AW$20)</f>
        <v>7289.8124822927994</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Costs'!$C$20:$AW$20)</f>
        <v>2435.0636121737252</v>
      </c>
      <c r="F15" s="140" cm="1">
        <f t="array" ref="F15">SUMPRODUCT(ISNUMBER( SEARCH('13 Space Heating Costs'!$C$7:$AW$7,'12 Space Heating Subcomponents'!H17)) *'13 Space Heating Costs'!$C$20:$AW$20)</f>
        <v>3753.3969455070587</v>
      </c>
      <c r="G15" s="140" cm="1">
        <f t="array" ref="G15">SUMPRODUCT(ISNUMBER( SEARCH('13 Space Heating Costs'!$C$7:$AW$7,'12 Space Heating Subcomponents'!I17)) *'13 Space Heating Costs'!$C$20:$AW$20)</f>
        <v>1502.6100734528677</v>
      </c>
      <c r="H15" s="140" cm="1">
        <f t="array" ref="H15">SUMPRODUCT(ISNUMBER( SEARCH('13 Space Heating Costs'!$C$7:$AW$7,'12 Space Heating Subcomponents'!J17)) *'13 Space Heating Costs'!$C$20:$AW$20)</f>
        <v>2827.6100734528677</v>
      </c>
      <c r="I15" s="140" cm="1">
        <f t="array" ref="I15">SUMPRODUCT(ISNUMBER( SEARCH('13 Space Heating Costs'!$C$7:$AW$7,'12 Space Heating Subcomponents'!K17)) *'13 Space Heating Costs'!$C$20:$AW$20)</f>
        <v>2278.3969455070587</v>
      </c>
      <c r="J15" s="139"/>
      <c r="K15" s="140" cm="1">
        <f t="array" ref="K15">SUMPRODUCT(ISNUMBER( SEARCH('13 Space Heating Costs'!$C$7:$AW$7,'12 Space Heating Subcomponents'!M17)) *'13 Space Heating Costs'!$C$20:$AW$20)</f>
        <v>2828.3969455070587</v>
      </c>
      <c r="L15" s="140" cm="1">
        <f t="array" ref="L15">SUMPRODUCT(ISNUMBER( SEARCH('13 Space Heating Costs'!$C$7:$AW$7,'12 Space Heating Subcomponents'!N17)) *'13 Space Heating Costs'!$C$20:$AW$20)</f>
        <v>2077.5142646858849</v>
      </c>
      <c r="M15" s="140" cm="1">
        <f t="array" ref="M15">SUMPRODUCT(ISNUMBER( SEARCH('13 Space Heating Costs'!$C$7:$AW$7,'12 Space Heating Subcomponents'!O17)) *'13 Space Heating Costs'!$C$20:$AW$20)</f>
        <v>2828.3969455070587</v>
      </c>
      <c r="N15" s="140" cm="1">
        <f t="array" ref="N15">SUMPRODUCT(ISNUMBER( SEARCH('13 Space Heating Costs'!$C$7:$AW$7,'12 Space Heating Subcomponents'!P17)) *'13 Space Heating Costs'!$C$20:$AW$20)</f>
        <v>3403.3969455070587</v>
      </c>
      <c r="O15" s="402" cm="1">
        <f t="array" ref="O15">SUMPRODUCT(ISNUMBER( SEARCH('13 Space Heating Costs'!$C$7:$AW$7,'12 Space Heating Subcomponents'!Q17)) *'13 Space Heating Costs'!$C$20:$AW$20)</f>
        <v>4152.6100734528682</v>
      </c>
      <c r="P15" s="72"/>
      <c r="Q15" s="1105"/>
      <c r="R15" s="182" t="s">
        <v>246</v>
      </c>
      <c r="S15" s="182" t="s">
        <v>247</v>
      </c>
      <c r="T15" s="140" cm="1">
        <f t="array" ref="T15">SUMPRODUCT(ISNUMBER( SEARCH('13 Space Heating Costs'!$C$7:$AW$7,'12 Space Heating Subcomponents'!G33)) *'13 Space Heating Costs'!$C$20:$AW$20)</f>
        <v>2435.0636121737252</v>
      </c>
      <c r="U15" s="140" cm="1">
        <f t="array" ref="U15">SUMPRODUCT(ISNUMBER( SEARCH('13 Space Heating Costs'!$C$7:$AW$7,'12 Space Heating Subcomponents'!H33)) *'13 Space Heating Costs'!$C$20:$AW$20)</f>
        <v>3753.3969455070587</v>
      </c>
      <c r="V15" s="140" cm="1">
        <f t="array" ref="V15">SUMPRODUCT(ISNUMBER( SEARCH('13 Space Heating Costs'!$C$7:$AW$7,'12 Space Heating Subcomponents'!I33)) *'13 Space Heating Costs'!$C$20:$AW$20)</f>
        <v>1502.6100734528677</v>
      </c>
      <c r="W15" s="140" cm="1">
        <f t="array" ref="W15">SUMPRODUCT(ISNUMBER( SEARCH('13 Space Heating Costs'!$C$7:$AW$7,'12 Space Heating Subcomponents'!J33)) *'13 Space Heating Costs'!$C$20:$AW$20)</f>
        <v>2827.6100734528677</v>
      </c>
      <c r="X15" s="140" cm="1">
        <f t="array" ref="X15">SUMPRODUCT(ISNUMBER( SEARCH('13 Space Heating Costs'!$C$7:$AW$7,'12 Space Heating Subcomponents'!K33)) *'13 Space Heating Costs'!$C$20:$AW$20)</f>
        <v>2278.3969455070587</v>
      </c>
      <c r="Y15" s="139"/>
      <c r="Z15" s="140" cm="1">
        <f t="array" ref="Z15">SUMPRODUCT(ISNUMBER( SEARCH('13 Space Heating Costs'!$C$7:$AW$7,'12 Space Heating Subcomponents'!M33)) *'13 Space Heating Costs'!$C$20:$AW$20)</f>
        <v>2828.3969455070587</v>
      </c>
      <c r="AA15" s="140" cm="1">
        <f t="array" ref="AA15">SUMPRODUCT(ISNUMBER( SEARCH('13 Space Heating Costs'!$C$7:$AW$7,'12 Space Heating Subcomponents'!N33)) *'13 Space Heating Costs'!$C$20:$AW$20)</f>
        <v>2077.5142646858849</v>
      </c>
      <c r="AB15" s="140" cm="1">
        <f t="array" ref="AB15">SUMPRODUCT(ISNUMBER( SEARCH('13 Space Heating Costs'!$C$7:$AW$7,'12 Space Heating Subcomponents'!O33)) *'13 Space Heating Costs'!$C$20:$AW$20)</f>
        <v>2828.3969455070587</v>
      </c>
      <c r="AC15" s="140" cm="1">
        <f t="array" ref="AC15">SUMPRODUCT(ISNUMBER( SEARCH('13 Space Heating Costs'!$C$7:$AW$7,'12 Space Heating Subcomponents'!P33)) *'13 Space Heating Costs'!$C$20:$AW$20)</f>
        <v>3403.3969455070587</v>
      </c>
      <c r="AD15" s="402" cm="1">
        <f t="array" ref="AD15">SUMPRODUCT(ISNUMBER( SEARCH('13 Space Heating Costs'!$C$7:$AW$7,'12 Space Heating Subcomponents'!Q33)) *'13 Space Heating Costs'!$C$20:$AW$20)</f>
        <v>4152.6100734528682</v>
      </c>
      <c r="AE15" s="72"/>
      <c r="AF15" s="1105"/>
      <c r="AG15" s="182" t="s">
        <v>246</v>
      </c>
      <c r="AH15" s="182" t="s">
        <v>247</v>
      </c>
      <c r="AI15" s="140" cm="1">
        <f t="array" ref="AI15">SUMPRODUCT(ISNUMBER( SEARCH('13 Space Heating Costs'!$C$7:$AW$7,'12 Space Heating Subcomponents'!G49)) *'13 Space Heating Costs'!$C$20:$AW$20)</f>
        <v>2435.0636121737252</v>
      </c>
      <c r="AJ15" s="140" cm="1">
        <f t="array" ref="AJ15">SUMPRODUCT(ISNUMBER( SEARCH('13 Space Heating Costs'!$C$7:$AW$7,'12 Space Heating Subcomponents'!H49)) *'13 Space Heating Costs'!$C$20:$AW$20)</f>
        <v>3753.3969455070587</v>
      </c>
      <c r="AK15" s="140" cm="1">
        <f t="array" ref="AK15">SUMPRODUCT(ISNUMBER( SEARCH('13 Space Heating Costs'!$C$7:$AW$7,'12 Space Heating Subcomponents'!I49)) *'13 Space Heating Costs'!$C$20:$AW$20)</f>
        <v>1502.6100734528677</v>
      </c>
      <c r="AL15" s="140" cm="1">
        <f t="array" ref="AL15">SUMPRODUCT(ISNUMBER( SEARCH('13 Space Heating Costs'!$C$7:$AW$7,'12 Space Heating Subcomponents'!J49)) *'13 Space Heating Costs'!$C$20:$AW$20)</f>
        <v>2827.6100734528677</v>
      </c>
      <c r="AM15" s="140" cm="1">
        <f t="array" ref="AM15">SUMPRODUCT(ISNUMBER( SEARCH('13 Space Heating Costs'!$C$7:$AW$7,'12 Space Heating Subcomponents'!K49)) *'13 Space Heating Costs'!$C$20:$AW$20)</f>
        <v>2278.3969455070587</v>
      </c>
      <c r="AN15" s="139"/>
      <c r="AO15" s="140" cm="1">
        <f t="array" ref="AO15">SUMPRODUCT(ISNUMBER( SEARCH('13 Space Heating Costs'!$C$7:$AW$7,'12 Space Heating Subcomponents'!M49)) *'13 Space Heating Costs'!$C$20:$AW$20)</f>
        <v>2828.3969455070587</v>
      </c>
      <c r="AP15" s="140" cm="1">
        <f t="array" ref="AP15">SUMPRODUCT(ISNUMBER( SEARCH('13 Space Heating Costs'!$C$7:$AW$7,'12 Space Heating Subcomponents'!N49)) *'13 Space Heating Costs'!$C$20:$AW$20)</f>
        <v>2077.5142646858849</v>
      </c>
      <c r="AQ15" s="140" cm="1">
        <f t="array" ref="AQ15">SUMPRODUCT(ISNUMBER( SEARCH('13 Space Heating Costs'!$C$7:$AW$7,'12 Space Heating Subcomponents'!O49)) *'13 Space Heating Costs'!$C$20:$AW$20)</f>
        <v>2828.3969455070587</v>
      </c>
      <c r="AR15" s="140" cm="1">
        <f t="array" ref="AR15">SUMPRODUCT(ISNUMBER( SEARCH('13 Space Heating Costs'!$C$7:$AW$7,'12 Space Heating Subcomponents'!P49)) *'13 Space Heating Costs'!$C$20:$AW$20)</f>
        <v>3403.3969455070587</v>
      </c>
      <c r="AS15" s="402" cm="1">
        <f t="array" ref="AS15">SUMPRODUCT(ISNUMBER( SEARCH('13 Space Heating Costs'!$C$7:$AW$7,'12 Space Heating Subcomponents'!Q49)) *'13 Space Heating Costs'!$C$20:$AW$20)</f>
        <v>4152.6100734528682</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Costs'!$C$20:$AW$20)</f>
        <v>1334.2767401195345</v>
      </c>
      <c r="F16" s="140" cm="1">
        <f t="array" ref="F16">SUMPRODUCT(ISNUMBER( SEARCH('13 Space Heating Costs'!$C$7:$AW$7,'12 Space Heating Subcomponents'!H18)) *'13 Space Heating Costs'!$C$20:$AW$20)</f>
        <v>2652.6100734528677</v>
      </c>
      <c r="G16" s="140" cm="1">
        <f t="array" ref="G16">SUMPRODUCT(ISNUMBER( SEARCH('13 Space Heating Costs'!$C$7:$AW$7,'12 Space Heating Subcomponents'!I18)) *'13 Space Heating Costs'!$C$20:$AW$20)</f>
        <v>4742.4225557456666</v>
      </c>
      <c r="H16" s="140" cm="1">
        <f t="array" ref="H16">SUMPRODUCT(ISNUMBER( SEARCH('13 Space Heating Costs'!$C$7:$AW$7,'12 Space Heating Subcomponents'!J18)) *'13 Space Heating Costs'!$C$20:$AW$20)</f>
        <v>6067.4225557456666</v>
      </c>
      <c r="I16" s="140" cm="1">
        <f t="array" ref="I16">SUMPRODUCT(ISNUMBER( SEARCH('13 Space Heating Costs'!$C$7:$AW$7,'12 Space Heating Subcomponents'!K18)) *'13 Space Heating Costs'!$C$20:$AW$20)</f>
        <v>1177.6100734528677</v>
      </c>
      <c r="J16" s="140" cm="1">
        <f t="array" ref="J16">SUMPRODUCT(ISNUMBER( SEARCH('13 Space Heating Costs'!$C$7:$AW$7,'12 Space Heating Subcomponents'!L18)) *'13 Space Heating Costs'!$C$20:$AW$20)</f>
        <v>4542.4225557456666</v>
      </c>
      <c r="K16" s="142"/>
      <c r="L16" s="140" cm="1">
        <f t="array" ref="L16">SUMPRODUCT(ISNUMBER( SEARCH('13 Space Heating Costs'!$C$7:$AW$7,'12 Space Heating Subcomponents'!N18)) *'13 Space Heating Costs'!$C$20:$AW$20)</f>
        <v>4514.716673525817</v>
      </c>
      <c r="M16" s="140" cm="1">
        <f t="array" ref="M16">SUMPRODUCT(ISNUMBER( SEARCH('13 Space Heating Costs'!$C$7:$AW$7,'12 Space Heating Subcomponents'!O18)) *'13 Space Heating Costs'!$C$20:$AW$20)</f>
        <v>925</v>
      </c>
      <c r="N16" s="140" cm="1">
        <f t="array" ref="N16">SUMPRODUCT(ISNUMBER( SEARCH('13 Space Heating Costs'!$C$7:$AW$7,'12 Space Heating Subcomponents'!P18)) *'13 Space Heating Costs'!$C$20:$AW$20)</f>
        <v>2302.6100734528677</v>
      </c>
      <c r="O16" s="402" cm="1">
        <f t="array" ref="O16">SUMPRODUCT(ISNUMBER( SEARCH('13 Space Heating Costs'!$C$7:$AW$7,'12 Space Heating Subcomponents'!Q18)) *'13 Space Heating Costs'!$C$20:$AW$20)</f>
        <v>6589.8124822927994</v>
      </c>
      <c r="P16" s="72"/>
      <c r="Q16" s="1105"/>
      <c r="R16" s="182" t="s">
        <v>246</v>
      </c>
      <c r="S16" s="182" t="s">
        <v>248</v>
      </c>
      <c r="T16" s="140" cm="1">
        <f t="array" ref="T16">SUMPRODUCT(ISNUMBER( SEARCH('13 Space Heating Costs'!$C$7:$AW$7,'12 Space Heating Subcomponents'!G34)) *'13 Space Heating Costs'!$C$20:$AW$20)</f>
        <v>1334.2767401195345</v>
      </c>
      <c r="U16" s="140" cm="1">
        <f t="array" ref="U16">SUMPRODUCT(ISNUMBER( SEARCH('13 Space Heating Costs'!$C$7:$AW$7,'12 Space Heating Subcomponents'!H34)) *'13 Space Heating Costs'!$C$20:$AW$20)</f>
        <v>2652.6100734528677</v>
      </c>
      <c r="V16" s="140" cm="1">
        <f t="array" ref="V16">SUMPRODUCT(ISNUMBER( SEARCH('13 Space Heating Costs'!$C$7:$AW$7,'12 Space Heating Subcomponents'!I34)) *'13 Space Heating Costs'!$C$20:$AW$20)</f>
        <v>4742.4225557456666</v>
      </c>
      <c r="W16" s="140" cm="1">
        <f t="array" ref="W16">SUMPRODUCT(ISNUMBER( SEARCH('13 Space Heating Costs'!$C$7:$AW$7,'12 Space Heating Subcomponents'!J34)) *'13 Space Heating Costs'!$C$20:$AW$20)</f>
        <v>6067.4225557456666</v>
      </c>
      <c r="X16" s="140" cm="1">
        <f t="array" ref="X16">SUMPRODUCT(ISNUMBER( SEARCH('13 Space Heating Costs'!$C$7:$AW$7,'12 Space Heating Subcomponents'!K34)) *'13 Space Heating Costs'!$C$20:$AW$20)</f>
        <v>1177.6100734528677</v>
      </c>
      <c r="Y16" s="140" cm="1">
        <f t="array" ref="Y16">SUMPRODUCT(ISNUMBER( SEARCH('13 Space Heating Costs'!$C$7:$AW$7,'12 Space Heating Subcomponents'!L34)) *'13 Space Heating Costs'!$C$20:$AW$20)</f>
        <v>4542.4225557456666</v>
      </c>
      <c r="Z16" s="142"/>
      <c r="AA16" s="140" cm="1">
        <f t="array" ref="AA16">SUMPRODUCT(ISNUMBER( SEARCH('13 Space Heating Costs'!$C$7:$AW$7,'12 Space Heating Subcomponents'!N34)) *'13 Space Heating Costs'!$C$20:$AW$20)</f>
        <v>4514.716673525817</v>
      </c>
      <c r="AB16" s="140" cm="1">
        <f t="array" ref="AB16">SUMPRODUCT(ISNUMBER( SEARCH('13 Space Heating Costs'!$C$7:$AW$7,'12 Space Heating Subcomponents'!O34)) *'13 Space Heating Costs'!$C$20:$AW$20)</f>
        <v>925</v>
      </c>
      <c r="AC16" s="140" cm="1">
        <f t="array" ref="AC16">SUMPRODUCT(ISNUMBER( SEARCH('13 Space Heating Costs'!$C$7:$AW$7,'12 Space Heating Subcomponents'!P34)) *'13 Space Heating Costs'!$C$20:$AW$20)</f>
        <v>2302.6100734528677</v>
      </c>
      <c r="AD16" s="402" cm="1">
        <f t="array" ref="AD16">SUMPRODUCT(ISNUMBER( SEARCH('13 Space Heating Costs'!$C$7:$AW$7,'12 Space Heating Subcomponents'!Q34)) *'13 Space Heating Costs'!$C$20:$AW$20)</f>
        <v>6589.8124822927994</v>
      </c>
      <c r="AE16" s="72"/>
      <c r="AF16" s="1105"/>
      <c r="AG16" s="182" t="s">
        <v>246</v>
      </c>
      <c r="AH16" s="182" t="s">
        <v>248</v>
      </c>
      <c r="AI16" s="140" cm="1">
        <f t="array" ref="AI16">SUMPRODUCT(ISNUMBER( SEARCH('13 Space Heating Costs'!$C$7:$AW$7,'12 Space Heating Subcomponents'!G50)) *'13 Space Heating Costs'!$C$20:$AW$20)</f>
        <v>1334.2767401195345</v>
      </c>
      <c r="AJ16" s="140" cm="1">
        <f t="array" ref="AJ16">SUMPRODUCT(ISNUMBER( SEARCH('13 Space Heating Costs'!$C$7:$AW$7,'12 Space Heating Subcomponents'!H50)) *'13 Space Heating Costs'!$C$20:$AW$20)</f>
        <v>2652.6100734528677</v>
      </c>
      <c r="AK16" s="140" cm="1">
        <f t="array" ref="AK16">SUMPRODUCT(ISNUMBER( SEARCH('13 Space Heating Costs'!$C$7:$AW$7,'12 Space Heating Subcomponents'!I50)) *'13 Space Heating Costs'!$C$20:$AW$20)</f>
        <v>4742.4225557456666</v>
      </c>
      <c r="AL16" s="140" cm="1">
        <f t="array" ref="AL16">SUMPRODUCT(ISNUMBER( SEARCH('13 Space Heating Costs'!$C$7:$AW$7,'12 Space Heating Subcomponents'!J50)) *'13 Space Heating Costs'!$C$20:$AW$20)</f>
        <v>6067.4225557456666</v>
      </c>
      <c r="AM16" s="140" cm="1">
        <f t="array" ref="AM16">SUMPRODUCT(ISNUMBER( SEARCH('13 Space Heating Costs'!$C$7:$AW$7,'12 Space Heating Subcomponents'!K50)) *'13 Space Heating Costs'!$C$20:$AW$20)</f>
        <v>1177.6100734528677</v>
      </c>
      <c r="AN16" s="140" cm="1">
        <f t="array" ref="AN16">SUMPRODUCT(ISNUMBER( SEARCH('13 Space Heating Costs'!$C$7:$AW$7,'12 Space Heating Subcomponents'!L50)) *'13 Space Heating Costs'!$C$20:$AW$20)</f>
        <v>4542.4225557456666</v>
      </c>
      <c r="AO16" s="142"/>
      <c r="AP16" s="140" cm="1">
        <f t="array" ref="AP16">SUMPRODUCT(ISNUMBER( SEARCH('13 Space Heating Costs'!$C$7:$AW$7,'12 Space Heating Subcomponents'!N50)) *'13 Space Heating Costs'!$C$20:$AW$20)</f>
        <v>4514.716673525817</v>
      </c>
      <c r="AQ16" s="140" cm="1">
        <f t="array" ref="AQ16">SUMPRODUCT(ISNUMBER( SEARCH('13 Space Heating Costs'!$C$7:$AW$7,'12 Space Heating Subcomponents'!O50)) *'13 Space Heating Costs'!$C$20:$AW$20)</f>
        <v>925</v>
      </c>
      <c r="AR16" s="140" cm="1">
        <f t="array" ref="AR16">SUMPRODUCT(ISNUMBER( SEARCH('13 Space Heating Costs'!$C$7:$AW$7,'12 Space Heating Subcomponents'!P50)) *'13 Space Heating Costs'!$C$20:$AW$20)</f>
        <v>2302.6100734528677</v>
      </c>
      <c r="AS16" s="402" cm="1">
        <f t="array" ref="AS16">SUMPRODUCT(ISNUMBER( SEARCH('13 Space Heating Costs'!$C$7:$AW$7,'12 Space Heating Subcomponents'!Q50)) *'13 Space Heating Costs'!$C$20:$AW$20)</f>
        <v>6589.8124822927994</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Costs'!$C$20:$AW$20)</f>
        <v>4218.8150966228859</v>
      </c>
      <c r="F17" s="140" cm="1">
        <f t="array" ref="F17">SUMPRODUCT(ISNUMBER( SEARCH('13 Space Heating Costs'!$C$7:$AW$7,'12 Space Heating Subcomponents'!H19)) *'13 Space Heating Costs'!$C$20:$AW$20)</f>
        <v>5537.1484299562198</v>
      </c>
      <c r="G17" s="140" cm="1">
        <f t="array" ref="G17">SUMPRODUCT(ISNUMBER( SEARCH('13 Space Heating Costs'!$C$7:$AW$7,'12 Space Heating Subcomponents'!I19)) *'13 Space Heating Costs'!$C$20:$AW$20)</f>
        <v>3286.3615579020284</v>
      </c>
      <c r="H17" s="140" cm="1">
        <f t="array" ref="H17">SUMPRODUCT(ISNUMBER( SEARCH('13 Space Heating Costs'!$C$7:$AW$7,'12 Space Heating Subcomponents'!J19)) *'13 Space Heating Costs'!$C$20:$AW$20)</f>
        <v>4611.3615579020279</v>
      </c>
      <c r="I17" s="140" cm="1">
        <f t="array" ref="I17">SUMPRODUCT(ISNUMBER( SEARCH('13 Space Heating Costs'!$C$7:$AW$7,'12 Space Heating Subcomponents'!K19)) *'13 Space Heating Costs'!$C$20:$AW$20)</f>
        <v>4062.1484299562194</v>
      </c>
      <c r="J17" s="140" cm="1">
        <f t="array" ref="J17">SUMPRODUCT(ISNUMBER( SEARCH('13 Space Heating Costs'!$C$7:$AW$7,'12 Space Heating Subcomponents'!L19)) *'13 Space Heating Costs'!$C$20:$AW$20)</f>
        <v>4012.1484299562194</v>
      </c>
      <c r="K17" s="140" cm="1">
        <f t="array" ref="K17">SUMPRODUCT(ISNUMBER( SEARCH('13 Space Heating Costs'!$C$7:$AW$7,'12 Space Heating Subcomponents'!M19)) *'13 Space Heating Costs'!$C$20:$AW$20)</f>
        <v>3809.5383565033517</v>
      </c>
      <c r="L17" s="142"/>
      <c r="M17" s="140" cm="1">
        <f t="array" ref="M17">SUMPRODUCT(ISNUMBER( SEARCH('13 Space Heating Costs'!$C$7:$AW$7,'12 Space Heating Subcomponents'!O19)) *'13 Space Heating Costs'!$C$20:$AW$20)</f>
        <v>3809.5383565033517</v>
      </c>
      <c r="N17" s="140" cm="1">
        <f t="array" ref="N17">SUMPRODUCT(ISNUMBER( SEARCH('13 Space Heating Costs'!$C$7:$AW$7,'12 Space Heating Subcomponents'!P19)) *'13 Space Heating Costs'!$C$20:$AW$20)</f>
        <v>5187.1484299562198</v>
      </c>
      <c r="O17" s="402" cm="1">
        <f t="array" ref="O17">SUMPRODUCT(ISNUMBER( SEARCH('13 Space Heating Costs'!$C$7:$AW$7,'12 Space Heating Subcomponents'!Q19)) *'13 Space Heating Costs'!$C$20:$AW$20)</f>
        <v>5936.3615579020279</v>
      </c>
      <c r="P17" s="72"/>
      <c r="Q17" s="1105"/>
      <c r="R17" s="182" t="s">
        <v>246</v>
      </c>
      <c r="S17" s="182" t="s">
        <v>249</v>
      </c>
      <c r="T17" s="140" cm="1">
        <f t="array" ref="T17">SUMPRODUCT(ISNUMBER( SEARCH('13 Space Heating Costs'!$C$7:$AW$7,'12 Space Heating Subcomponents'!G35)) *'13 Space Heating Costs'!$C$20:$AW$20)</f>
        <v>4218.8150966228859</v>
      </c>
      <c r="U17" s="140" cm="1">
        <f t="array" ref="U17">SUMPRODUCT(ISNUMBER( SEARCH('13 Space Heating Costs'!$C$7:$AW$7,'12 Space Heating Subcomponents'!H35)) *'13 Space Heating Costs'!$C$20:$AW$20)</f>
        <v>5537.1484299562198</v>
      </c>
      <c r="V17" s="140" cm="1">
        <f t="array" ref="V17">SUMPRODUCT(ISNUMBER( SEARCH('13 Space Heating Costs'!$C$7:$AW$7,'12 Space Heating Subcomponents'!I35)) *'13 Space Heating Costs'!$C$20:$AW$20)</f>
        <v>3286.3615579020284</v>
      </c>
      <c r="W17" s="140" cm="1">
        <f t="array" ref="W17">SUMPRODUCT(ISNUMBER( SEARCH('13 Space Heating Costs'!$C$7:$AW$7,'12 Space Heating Subcomponents'!J35)) *'13 Space Heating Costs'!$C$20:$AW$20)</f>
        <v>4611.3615579020279</v>
      </c>
      <c r="X17" s="140" cm="1">
        <f t="array" ref="X17">SUMPRODUCT(ISNUMBER( SEARCH('13 Space Heating Costs'!$C$7:$AW$7,'12 Space Heating Subcomponents'!K35)) *'13 Space Heating Costs'!$C$20:$AW$20)</f>
        <v>4062.1484299562194</v>
      </c>
      <c r="Y17" s="140" cm="1">
        <f t="array" ref="Y17">SUMPRODUCT(ISNUMBER( SEARCH('13 Space Heating Costs'!$C$7:$AW$7,'12 Space Heating Subcomponents'!L35)) *'13 Space Heating Costs'!$C$20:$AW$20)</f>
        <v>4012.1484299562194</v>
      </c>
      <c r="Z17" s="140" cm="1">
        <f t="array" ref="Z17">SUMPRODUCT(ISNUMBER( SEARCH('13 Space Heating Costs'!$C$7:$AW$7,'12 Space Heating Subcomponents'!M35)) *'13 Space Heating Costs'!$C$20:$AW$20)</f>
        <v>3809.5383565033517</v>
      </c>
      <c r="AA17" s="142"/>
      <c r="AB17" s="140" cm="1">
        <f t="array" ref="AB17">SUMPRODUCT(ISNUMBER( SEARCH('13 Space Heating Costs'!$C$7:$AW$7,'12 Space Heating Subcomponents'!O35)) *'13 Space Heating Costs'!$C$20:$AW$20)</f>
        <v>3809.5383565033517</v>
      </c>
      <c r="AC17" s="140" cm="1">
        <f t="array" ref="AC17">SUMPRODUCT(ISNUMBER( SEARCH('13 Space Heating Costs'!$C$7:$AW$7,'12 Space Heating Subcomponents'!P35)) *'13 Space Heating Costs'!$C$20:$AW$20)</f>
        <v>5187.1484299562198</v>
      </c>
      <c r="AD17" s="402" cm="1">
        <f t="array" ref="AD17">SUMPRODUCT(ISNUMBER( SEARCH('13 Space Heating Costs'!$C$7:$AW$7,'12 Space Heating Subcomponents'!Q35)) *'13 Space Heating Costs'!$C$20:$AW$20)</f>
        <v>5936.3615579020279</v>
      </c>
      <c r="AE17" s="72"/>
      <c r="AF17" s="1105"/>
      <c r="AG17" s="182" t="s">
        <v>246</v>
      </c>
      <c r="AH17" s="182" t="s">
        <v>249</v>
      </c>
      <c r="AI17" s="140" cm="1">
        <f t="array" ref="AI17">SUMPRODUCT(ISNUMBER( SEARCH('13 Space Heating Costs'!$C$7:$AW$7,'12 Space Heating Subcomponents'!G51)) *'13 Space Heating Costs'!$C$20:$AW$20)</f>
        <v>4218.8150966228859</v>
      </c>
      <c r="AJ17" s="140" cm="1">
        <f t="array" ref="AJ17">SUMPRODUCT(ISNUMBER( SEARCH('13 Space Heating Costs'!$C$7:$AW$7,'12 Space Heating Subcomponents'!H51)) *'13 Space Heating Costs'!$C$20:$AW$20)</f>
        <v>5537.1484299562198</v>
      </c>
      <c r="AK17" s="140" cm="1">
        <f t="array" ref="AK17">SUMPRODUCT(ISNUMBER( SEARCH('13 Space Heating Costs'!$C$7:$AW$7,'12 Space Heating Subcomponents'!I51)) *'13 Space Heating Costs'!$C$20:$AW$20)</f>
        <v>3286.3615579020284</v>
      </c>
      <c r="AL17" s="140" cm="1">
        <f t="array" ref="AL17">SUMPRODUCT(ISNUMBER( SEARCH('13 Space Heating Costs'!$C$7:$AW$7,'12 Space Heating Subcomponents'!J51)) *'13 Space Heating Costs'!$C$20:$AW$20)</f>
        <v>4611.3615579020279</v>
      </c>
      <c r="AM17" s="140" cm="1">
        <f t="array" ref="AM17">SUMPRODUCT(ISNUMBER( SEARCH('13 Space Heating Costs'!$C$7:$AW$7,'12 Space Heating Subcomponents'!K51)) *'13 Space Heating Costs'!$C$20:$AW$20)</f>
        <v>4062.1484299562194</v>
      </c>
      <c r="AN17" s="140" cm="1">
        <f t="array" ref="AN17">SUMPRODUCT(ISNUMBER( SEARCH('13 Space Heating Costs'!$C$7:$AW$7,'12 Space Heating Subcomponents'!L51)) *'13 Space Heating Costs'!$C$20:$AW$20)</f>
        <v>4012.1484299562194</v>
      </c>
      <c r="AO17" s="140" cm="1">
        <f t="array" ref="AO17">SUMPRODUCT(ISNUMBER( SEARCH('13 Space Heating Costs'!$C$7:$AW$7,'12 Space Heating Subcomponents'!M51)) *'13 Space Heating Costs'!$C$20:$AW$20)</f>
        <v>3809.5383565033517</v>
      </c>
      <c r="AP17" s="142"/>
      <c r="AQ17" s="140" cm="1">
        <f t="array" ref="AQ17">SUMPRODUCT(ISNUMBER( SEARCH('13 Space Heating Costs'!$C$7:$AW$7,'12 Space Heating Subcomponents'!O51)) *'13 Space Heating Costs'!$C$20:$AW$20)</f>
        <v>3809.5383565033517</v>
      </c>
      <c r="AR17" s="140" cm="1">
        <f t="array" ref="AR17">SUMPRODUCT(ISNUMBER( SEARCH('13 Space Heating Costs'!$C$7:$AW$7,'12 Space Heating Subcomponents'!P51)) *'13 Space Heating Costs'!$C$20:$AW$20)</f>
        <v>5187.1484299562198</v>
      </c>
      <c r="AS17" s="402" cm="1">
        <f t="array" ref="AS17">SUMPRODUCT(ISNUMBER( SEARCH('13 Space Heating Costs'!$C$7:$AW$7,'12 Space Heating Subcomponents'!Q51)) *'13 Space Heating Costs'!$C$20:$AW$20)</f>
        <v>5936.3615579020279</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Costs'!$C$20:$AW$20)</f>
        <v>17182.730202462841</v>
      </c>
      <c r="F18" s="140" cm="1">
        <f t="array" ref="F18">SUMPRODUCT(ISNUMBER( SEARCH('13 Space Heating Costs'!$C$7:$AW$7,'12 Space Heating Subcomponents'!H20)) *'13 Space Heating Costs'!$C$20:$AW$20)</f>
        <v>21915.876018088973</v>
      </c>
      <c r="G18" s="140" cm="1">
        <f t="array" ref="G18">SUMPRODUCT(ISNUMBER( SEARCH('13 Space Heating Costs'!$C$7:$AW$7,'12 Space Heating Subcomponents'!I20)) *'13 Space Heating Costs'!$C$20:$AW$20)</f>
        <v>17176.063535796173</v>
      </c>
      <c r="H18" s="140" cm="1">
        <f t="array" ref="H18">SUMPRODUCT(ISNUMBER( SEARCH('13 Space Heating Costs'!$C$7:$AW$7,'12 Space Heating Subcomponents'!J20)) *'13 Space Heating Costs'!$C$20:$AW$20)</f>
        <v>21915.876018088973</v>
      </c>
      <c r="I18" s="140" cm="1">
        <f t="array" ref="I18">SUMPRODUCT(ISNUMBER( SEARCH('13 Space Heating Costs'!$C$7:$AW$7,'12 Space Heating Subcomponents'!K20)) *'13 Space Heating Costs'!$C$20:$AW$20)</f>
        <v>17026.063535796173</v>
      </c>
      <c r="J18" s="140" cm="1">
        <f t="array" ref="J18">SUMPRODUCT(ISNUMBER( SEARCH('13 Space Heating Costs'!$C$7:$AW$7,'12 Space Heating Subcomponents'!L20)) *'13 Space Heating Costs'!$C$20:$AW$20)</f>
        <v>21050.129729840482</v>
      </c>
      <c r="K18" s="140" cm="1">
        <f t="array" ref="K18">SUMPRODUCT(ISNUMBER( SEARCH('13 Space Heating Costs'!$C$7:$AW$7,'12 Space Heating Subcomponents'!M20)) *'13 Space Heating Costs'!$C$20:$AW$20)</f>
        <v>16773.453462343306</v>
      </c>
      <c r="L18" s="140" cm="1">
        <f t="array" ref="L18">SUMPRODUCT(ISNUMBER( SEARCH('13 Space Heating Costs'!$C$7:$AW$7,'12 Space Heating Subcomponents'!N20)) *'13 Space Heating Costs'!$C$20:$AW$20)</f>
        <v>20363.170135869121</v>
      </c>
      <c r="M18" s="142"/>
      <c r="N18" s="140" cm="1">
        <f t="array" ref="N18">SUMPRODUCT(ISNUMBER( SEARCH('13 Space Heating Costs'!$C$7:$AW$7,'12 Space Heating Subcomponents'!P20)) *'13 Space Heating Costs'!$C$20:$AW$20)</f>
        <v>21565.876018088973</v>
      </c>
      <c r="O18" s="402" cm="1">
        <f t="array" ref="O18">SUMPRODUCT(ISNUMBER( SEARCH('13 Space Heating Costs'!$C$7:$AW$7,'12 Space Heating Subcomponents'!Q20)) *'13 Space Heating Costs'!$C$20:$AW$20)</f>
        <v>19682.707174094816</v>
      </c>
      <c r="P18" s="72"/>
      <c r="Q18" s="1105"/>
      <c r="R18" s="182" t="s">
        <v>246</v>
      </c>
      <c r="S18" s="182" t="s">
        <v>250</v>
      </c>
      <c r="T18" s="140" cm="1">
        <f t="array" ref="T18">SUMPRODUCT(ISNUMBER( SEARCH('13 Space Heating Costs'!$C$7:$AW$7,'12 Space Heating Subcomponents'!G36)) *'13 Space Heating Costs'!$C$20:$AW$20)</f>
        <v>17182.730202462841</v>
      </c>
      <c r="U18" s="140" cm="1">
        <f t="array" ref="U18">SUMPRODUCT(ISNUMBER( SEARCH('13 Space Heating Costs'!$C$7:$AW$7,'12 Space Heating Subcomponents'!H36)) *'13 Space Heating Costs'!$C$20:$AW$20)</f>
        <v>21915.876018088973</v>
      </c>
      <c r="V18" s="140" cm="1">
        <f t="array" ref="V18">SUMPRODUCT(ISNUMBER( SEARCH('13 Space Heating Costs'!$C$7:$AW$7,'12 Space Heating Subcomponents'!I36)) *'13 Space Heating Costs'!$C$20:$AW$20)</f>
        <v>17176.063535796173</v>
      </c>
      <c r="W18" s="140" cm="1">
        <f t="array" ref="W18">SUMPRODUCT(ISNUMBER( SEARCH('13 Space Heating Costs'!$C$7:$AW$7,'12 Space Heating Subcomponents'!J36)) *'13 Space Heating Costs'!$C$20:$AW$20)</f>
        <v>21915.876018088973</v>
      </c>
      <c r="X18" s="140" cm="1">
        <f t="array" ref="X18">SUMPRODUCT(ISNUMBER( SEARCH('13 Space Heating Costs'!$C$7:$AW$7,'12 Space Heating Subcomponents'!K36)) *'13 Space Heating Costs'!$C$20:$AW$20)</f>
        <v>17026.063535796173</v>
      </c>
      <c r="Y18" s="140" cm="1">
        <f t="array" ref="Y18">SUMPRODUCT(ISNUMBER( SEARCH('13 Space Heating Costs'!$C$7:$AW$7,'12 Space Heating Subcomponents'!L36)) *'13 Space Heating Costs'!$C$20:$AW$20)</f>
        <v>21050.129729840482</v>
      </c>
      <c r="Z18" s="140" cm="1">
        <f t="array" ref="Z18">SUMPRODUCT(ISNUMBER( SEARCH('13 Space Heating Costs'!$C$7:$AW$7,'12 Space Heating Subcomponents'!M36)) *'13 Space Heating Costs'!$C$20:$AW$20)</f>
        <v>16773.453462343306</v>
      </c>
      <c r="AA18" s="140" cm="1">
        <f t="array" ref="AA18">SUMPRODUCT(ISNUMBER( SEARCH('13 Space Heating Costs'!$C$7:$AW$7,'12 Space Heating Subcomponents'!N36)) *'13 Space Heating Costs'!$C$20:$AW$20)</f>
        <v>20363.170135869121</v>
      </c>
      <c r="AB18" s="142"/>
      <c r="AC18" s="140" cm="1">
        <f t="array" ref="AC18">SUMPRODUCT(ISNUMBER( SEARCH('13 Space Heating Costs'!$C$7:$AW$7,'12 Space Heating Subcomponents'!P36)) *'13 Space Heating Costs'!$C$20:$AW$20)</f>
        <v>21565.876018088973</v>
      </c>
      <c r="AD18" s="402" cm="1">
        <f t="array" ref="AD18">SUMPRODUCT(ISNUMBER( SEARCH('13 Space Heating Costs'!$C$7:$AW$7,'12 Space Heating Subcomponents'!Q36)) *'13 Space Heating Costs'!$C$20:$AW$20)</f>
        <v>19682.707174094816</v>
      </c>
      <c r="AE18" s="72"/>
      <c r="AF18" s="1105"/>
      <c r="AG18" s="182" t="s">
        <v>246</v>
      </c>
      <c r="AH18" s="182" t="s">
        <v>250</v>
      </c>
      <c r="AI18" s="140" cm="1">
        <f t="array" ref="AI18">SUMPRODUCT(ISNUMBER( SEARCH('13 Space Heating Costs'!$C$7:$AW$7,'12 Space Heating Subcomponents'!G52)) *'13 Space Heating Costs'!$C$20:$AW$20)</f>
        <v>17182.730202462841</v>
      </c>
      <c r="AJ18" s="140" cm="1">
        <f t="array" ref="AJ18">SUMPRODUCT(ISNUMBER( SEARCH('13 Space Heating Costs'!$C$7:$AW$7,'12 Space Heating Subcomponents'!H52)) *'13 Space Heating Costs'!$C$20:$AW$20)</f>
        <v>21915.876018088973</v>
      </c>
      <c r="AK18" s="140" cm="1">
        <f t="array" ref="AK18">SUMPRODUCT(ISNUMBER( SEARCH('13 Space Heating Costs'!$C$7:$AW$7,'12 Space Heating Subcomponents'!I52)) *'13 Space Heating Costs'!$C$20:$AW$20)</f>
        <v>17176.063535796173</v>
      </c>
      <c r="AL18" s="140" cm="1">
        <f t="array" ref="AL18">SUMPRODUCT(ISNUMBER( SEARCH('13 Space Heating Costs'!$C$7:$AW$7,'12 Space Heating Subcomponents'!J52)) *'13 Space Heating Costs'!$C$20:$AW$20)</f>
        <v>21915.876018088973</v>
      </c>
      <c r="AM18" s="140" cm="1">
        <f t="array" ref="AM18">SUMPRODUCT(ISNUMBER( SEARCH('13 Space Heating Costs'!$C$7:$AW$7,'12 Space Heating Subcomponents'!K52)) *'13 Space Heating Costs'!$C$20:$AW$20)</f>
        <v>17026.063535796173</v>
      </c>
      <c r="AN18" s="140" cm="1">
        <f t="array" ref="AN18">SUMPRODUCT(ISNUMBER( SEARCH('13 Space Heating Costs'!$C$7:$AW$7,'12 Space Heating Subcomponents'!L52)) *'13 Space Heating Costs'!$C$20:$AW$20)</f>
        <v>21050.129729840482</v>
      </c>
      <c r="AO18" s="140" cm="1">
        <f t="array" ref="AO18">SUMPRODUCT(ISNUMBER( SEARCH('13 Space Heating Costs'!$C$7:$AW$7,'12 Space Heating Subcomponents'!M52)) *'13 Space Heating Costs'!$C$20:$AW$20)</f>
        <v>16773.453462343306</v>
      </c>
      <c r="AP18" s="140" cm="1">
        <f t="array" ref="AP18">SUMPRODUCT(ISNUMBER( SEARCH('13 Space Heating Costs'!$C$7:$AW$7,'12 Space Heating Subcomponents'!N52)) *'13 Space Heating Costs'!$C$20:$AW$20)</f>
        <v>20363.170135869121</v>
      </c>
      <c r="AQ18" s="142"/>
      <c r="AR18" s="140" cm="1">
        <f t="array" ref="AR18">SUMPRODUCT(ISNUMBER( SEARCH('13 Space Heating Costs'!$C$7:$AW$7,'12 Space Heating Subcomponents'!P52)) *'13 Space Heating Costs'!$C$20:$AW$20)</f>
        <v>21565.876018088973</v>
      </c>
      <c r="AS18" s="402" cm="1">
        <f t="array" ref="AS18">SUMPRODUCT(ISNUMBER( SEARCH('13 Space Heating Costs'!$C$7:$AW$7,'12 Space Heating Subcomponents'!Q52)) *'13 Space Heating Costs'!$C$20:$AW$20)</f>
        <v>19682.707174094816</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Costs'!$C$20:$AW$20)</f>
        <v>2778.9339456470152</v>
      </c>
      <c r="F19" s="140" cm="1">
        <f t="array" ref="F19">SUMPRODUCT(ISNUMBER( SEARCH('13 Space Heating Costs'!$C$7:$AW$7,'12 Space Heating Subcomponents'!H21)) *'13 Space Heating Costs'!$C$20:$AW$20)</f>
        <v>4097.2672789803482</v>
      </c>
      <c r="G19" s="140" cm="1">
        <f t="array" ref="G19">SUMPRODUCT(ISNUMBER( SEARCH('13 Space Heating Costs'!$C$7:$AW$7,'12 Space Heating Subcomponents'!I21)) *'13 Space Heating Costs'!$C$20:$AW$20)</f>
        <v>6187.0797612731476</v>
      </c>
      <c r="H19" s="140" cm="1">
        <f t="array" ref="H19">SUMPRODUCT(ISNUMBER( SEARCH('13 Space Heating Costs'!$C$7:$AW$7,'12 Space Heating Subcomponents'!J21)) *'13 Space Heating Costs'!$C$20:$AW$20)</f>
        <v>7512.0797612731476</v>
      </c>
      <c r="I19" s="140" cm="1">
        <f t="array" ref="I19">SUMPRODUCT(ISNUMBER( SEARCH('13 Space Heating Costs'!$C$7:$AW$7,'12 Space Heating Subcomponents'!K21)) *'13 Space Heating Costs'!$C$20:$AW$20)</f>
        <v>3281.5209907318617</v>
      </c>
      <c r="J19" s="140" cm="1">
        <f t="array" ref="J19">SUMPRODUCT(ISNUMBER( SEARCH('13 Space Heating Costs'!$C$7:$AW$7,'12 Space Heating Subcomponents'!L21)) *'13 Space Heating Costs'!$C$20:$AW$20)</f>
        <v>6646.3334730246615</v>
      </c>
      <c r="K19" s="140" cm="1">
        <f t="array" ref="K19">SUMPRODUCT(ISNUMBER( SEARCH('13 Space Heating Costs'!$C$7:$AW$7,'12 Space Heating Subcomponents'!M21)) *'13 Space Heating Costs'!$C$20:$AW$20)</f>
        <v>3831.5209907318617</v>
      </c>
      <c r="L19" s="140" cm="1">
        <f t="array" ref="L19">SUMPRODUCT(ISNUMBER( SEARCH('13 Space Heating Costs'!$C$7:$AW$7,'12 Space Heating Subcomponents'!N21)) *'13 Space Heating Costs'!$C$20:$AW$20)</f>
        <v>7421.2376642576792</v>
      </c>
      <c r="M19" s="140" cm="1">
        <f t="array" ref="M19">SUMPRODUCT(ISNUMBER( SEARCH('13 Space Heating Costs'!$C$7:$AW$7,'12 Space Heating Subcomponents'!O21)) *'13 Space Heating Costs'!$C$20:$AW$20)</f>
        <v>3831.5209907318617</v>
      </c>
      <c r="N19" s="142"/>
      <c r="O19" s="402" cm="1">
        <f t="array" ref="O19">SUMPRODUCT(ISNUMBER( SEARCH('13 Space Heating Costs'!$C$7:$AW$7,'12 Space Heating Subcomponents'!Q21)) *'13 Space Heating Costs'!$C$20:$AW$20)</f>
        <v>9496.3334730246606</v>
      </c>
      <c r="P19" s="72"/>
      <c r="Q19" s="1105"/>
      <c r="R19" s="182" t="s">
        <v>86</v>
      </c>
      <c r="S19" s="182" t="s">
        <v>243</v>
      </c>
      <c r="T19" s="140" cm="1">
        <f t="array" ref="T19">SUMPRODUCT(ISNUMBER( SEARCH('13 Space Heating Costs'!$C$7:$AW$7,'12 Space Heating Subcomponents'!G37)) *'13 Space Heating Costs'!$C$20:$AW$20)</f>
        <v>3502.179895647158</v>
      </c>
      <c r="U19" s="140" cm="1">
        <f t="array" ref="U19">SUMPRODUCT(ISNUMBER( SEARCH('13 Space Heating Costs'!$C$7:$AW$7,'12 Space Heating Subcomponents'!H37)) *'13 Space Heating Costs'!$C$20:$AW$20)</f>
        <v>4820.5132289804915</v>
      </c>
      <c r="V19" s="140" cm="1">
        <f t="array" ref="V19">SUMPRODUCT(ISNUMBER( SEARCH('13 Space Heating Costs'!$C$7:$AW$7,'12 Space Heating Subcomponents'!I37)) *'13 Space Heating Costs'!$C$20:$AW$20)</f>
        <v>6910.3257112732908</v>
      </c>
      <c r="W19" s="140" cm="1">
        <f t="array" ref="W19">SUMPRODUCT(ISNUMBER( SEARCH('13 Space Heating Costs'!$C$7:$AW$7,'12 Space Heating Subcomponents'!J37)) *'13 Space Heating Costs'!$C$20:$AW$20)</f>
        <v>8235.3257112732899</v>
      </c>
      <c r="X19" s="140" cm="1">
        <f t="array" ref="X19">SUMPRODUCT(ISNUMBER( SEARCH('13 Space Heating Costs'!$C$7:$AW$7,'12 Space Heating Subcomponents'!K37)) *'13 Space Heating Costs'!$C$20:$AW$20)</f>
        <v>4004.7669407320045</v>
      </c>
      <c r="Y19" s="140" cm="1">
        <f t="array" ref="Y19">SUMPRODUCT(ISNUMBER( SEARCH('13 Space Heating Costs'!$C$7:$AW$7,'12 Space Heating Subcomponents'!L37)) *'13 Space Heating Costs'!$C$20:$AW$20)</f>
        <v>7369.5794230248048</v>
      </c>
      <c r="Z19" s="140" cm="1">
        <f t="array" ref="Z19">SUMPRODUCT(ISNUMBER( SEARCH('13 Space Heating Costs'!$C$7:$AW$7,'12 Space Heating Subcomponents'!M37)) *'13 Space Heating Costs'!$C$20:$AW$20)</f>
        <v>4554.7669407320045</v>
      </c>
      <c r="AA19" s="140" cm="1">
        <f t="array" ref="AA19">SUMPRODUCT(ISNUMBER( SEARCH('13 Space Heating Costs'!$C$7:$AW$7,'12 Space Heating Subcomponents'!N37)) *'13 Space Heating Costs'!$C$20:$AW$20)</f>
        <v>8144.4836142578224</v>
      </c>
      <c r="AB19" s="140" cm="1">
        <f t="array" ref="AB19">SUMPRODUCT(ISNUMBER( SEARCH('13 Space Heating Costs'!$C$7:$AW$7,'12 Space Heating Subcomponents'!O37)) *'13 Space Heating Costs'!$C$20:$AW$20)</f>
        <v>4554.7669407320045</v>
      </c>
      <c r="AC19" s="142"/>
      <c r="AD19" s="402" cm="1">
        <f t="array" ref="AD19">SUMPRODUCT(ISNUMBER( SEARCH('13 Space Heating Costs'!$C$7:$AW$7,'12 Space Heating Subcomponents'!Q37)) *'13 Space Heating Costs'!$C$20:$AW$20)</f>
        <v>10219.579423024805</v>
      </c>
      <c r="AE19" s="72"/>
      <c r="AF19" s="1105"/>
      <c r="AG19" s="182" t="s">
        <v>86</v>
      </c>
      <c r="AH19" s="182" t="s">
        <v>243</v>
      </c>
      <c r="AI19" s="140" cm="1">
        <f t="array" ref="AI19">SUMPRODUCT(ISNUMBER( SEARCH('13 Space Heating Costs'!$C$7:$AW$7,'12 Space Heating Subcomponents'!G53)) *'13 Space Heating Costs'!$C$20:$AW$20)</f>
        <v>2187.2916467077707</v>
      </c>
      <c r="AJ19" s="140" cm="1">
        <f t="array" ref="AJ19">SUMPRODUCT(ISNUMBER( SEARCH('13 Space Heating Costs'!$C$7:$AW$7,'12 Space Heating Subcomponents'!H53)) *'13 Space Heating Costs'!$C$20:$AW$20)</f>
        <v>3505.6249800411042</v>
      </c>
      <c r="AK19" s="140" cm="1">
        <f t="array" ref="AK19">SUMPRODUCT(ISNUMBER( SEARCH('13 Space Heating Costs'!$C$7:$AW$7,'12 Space Heating Subcomponents'!I53)) *'13 Space Heating Costs'!$C$20:$AW$20)</f>
        <v>5595.4374623339036</v>
      </c>
      <c r="AL19" s="140" cm="1">
        <f t="array" ref="AL19">SUMPRODUCT(ISNUMBER( SEARCH('13 Space Heating Costs'!$C$7:$AW$7,'12 Space Heating Subcomponents'!J53)) *'13 Space Heating Costs'!$C$20:$AW$20)</f>
        <v>6920.4374623339036</v>
      </c>
      <c r="AM19" s="140" cm="1">
        <f t="array" ref="AM19">SUMPRODUCT(ISNUMBER( SEARCH('13 Space Heating Costs'!$C$7:$AW$7,'12 Space Heating Subcomponents'!K53)) *'13 Space Heating Costs'!$C$20:$AW$20)</f>
        <v>2689.8786917926172</v>
      </c>
      <c r="AN19" s="140" cm="1">
        <f t="array" ref="AN19">SUMPRODUCT(ISNUMBER( SEARCH('13 Space Heating Costs'!$C$7:$AW$7,'12 Space Heating Subcomponents'!L53)) *'13 Space Heating Costs'!$C$20:$AW$20)</f>
        <v>6054.6911740854175</v>
      </c>
      <c r="AO19" s="140" cm="1">
        <f t="array" ref="AO19">SUMPRODUCT(ISNUMBER( SEARCH('13 Space Heating Costs'!$C$7:$AW$7,'12 Space Heating Subcomponents'!M53)) *'13 Space Heating Costs'!$C$20:$AW$20)</f>
        <v>3239.8786917926172</v>
      </c>
      <c r="AP19" s="140" cm="1">
        <f t="array" ref="AP19">SUMPRODUCT(ISNUMBER( SEARCH('13 Space Heating Costs'!$C$7:$AW$7,'12 Space Heating Subcomponents'!N53)) *'13 Space Heating Costs'!$C$20:$AW$20)</f>
        <v>6829.5953653184351</v>
      </c>
      <c r="AQ19" s="140" cm="1">
        <f t="array" ref="AQ19">SUMPRODUCT(ISNUMBER( SEARCH('13 Space Heating Costs'!$C$7:$AW$7,'12 Space Heating Subcomponents'!O53)) *'13 Space Heating Costs'!$C$20:$AW$20)</f>
        <v>3239.8786917926172</v>
      </c>
      <c r="AR19" s="142"/>
      <c r="AS19" s="402" cm="1">
        <f t="array" ref="AS19">SUMPRODUCT(ISNUMBER( SEARCH('13 Space Heating Costs'!$C$7:$AW$7,'12 Space Heating Subcomponents'!Q53)) *'13 Space Heating Costs'!$C$20:$AW$20)</f>
        <v>8904.6911740854175</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Costs'!$C$20:$AW$20)</f>
        <v>3876.4671807482146</v>
      </c>
      <c r="F20" s="403" cm="1">
        <f t="array" ref="F20">SUMPRODUCT(ISNUMBER( SEARCH('13 Space Heating Costs'!$C$7:$AW$7,'12 Space Heating Subcomponents'!H22)) *'13 Space Heating Costs'!$C$20:$AW$20)</f>
        <v>5194.8005140815476</v>
      </c>
      <c r="G20" s="403" cm="1">
        <f t="array" ref="G20">SUMPRODUCT(ISNUMBER( SEARCH('13 Space Heating Costs'!$C$7:$AW$7,'12 Space Heating Subcomponents'!I22)) *'13 Space Heating Costs'!$C$20:$AW$20)</f>
        <v>3869.800514081548</v>
      </c>
      <c r="H20" s="403" cm="1">
        <f t="array" ref="H20">SUMPRODUCT(ISNUMBER( SEARCH('13 Space Heating Costs'!$C$7:$AW$7,'12 Space Heating Subcomponents'!J22)) *'13 Space Heating Costs'!$C$20:$AW$20)</f>
        <v>5194.8005140815476</v>
      </c>
      <c r="I20" s="403" cm="1">
        <f t="array" ref="I20">SUMPRODUCT(ISNUMBER( SEARCH('13 Space Heating Costs'!$C$7:$AW$7,'12 Space Heating Subcomponents'!K22)) *'13 Space Heating Costs'!$C$20:$AW$20)</f>
        <v>3719.800514081548</v>
      </c>
      <c r="J20" s="403" cm="1">
        <f t="array" ref="J20">SUMPRODUCT(ISNUMBER( SEARCH('13 Space Heating Costs'!$C$7:$AW$7,'12 Space Heating Subcomponents'!L22)) *'13 Space Heating Costs'!$C$20:$AW$20)</f>
        <v>3669.800514081548</v>
      </c>
      <c r="K20" s="403" cm="1">
        <f t="array" ref="K20">SUMPRODUCT(ISNUMBER( SEARCH('13 Space Heating Costs'!$C$7:$AW$7,'12 Space Heating Subcomponents'!M22)) *'13 Space Heating Costs'!$C$20:$AW$20)</f>
        <v>4269.8005140815476</v>
      </c>
      <c r="L20" s="403" cm="1">
        <f t="array" ref="L20">SUMPRODUCT(ISNUMBER( SEARCH('13 Space Heating Costs'!$C$7:$AW$7,'12 Space Heating Subcomponents'!N22)) *'13 Space Heating Costs'!$C$20:$AW$20)</f>
        <v>4444.7047053145652</v>
      </c>
      <c r="M20" s="403" cm="1">
        <f t="array" ref="M20">SUMPRODUCT(ISNUMBER( SEARCH('13 Space Heating Costs'!$C$7:$AW$7,'12 Space Heating Subcomponents'!O22)) *'13 Space Heating Costs'!$C$20:$AW$20)</f>
        <v>4269.8005140815476</v>
      </c>
      <c r="N20" s="403" cm="1">
        <f t="array" ref="N20">SUMPRODUCT(ISNUMBER( SEARCH('13 Space Heating Costs'!$C$7:$AW$7,'12 Space Heating Subcomponents'!P22)) *'13 Space Heating Costs'!$C$20:$AW$20)</f>
        <v>4844.8005140815476</v>
      </c>
      <c r="O20" s="426"/>
      <c r="P20" s="58"/>
      <c r="Q20" s="1106"/>
      <c r="R20" s="366" t="s">
        <v>252</v>
      </c>
      <c r="S20" s="366" t="s">
        <v>253</v>
      </c>
      <c r="T20" s="403" cm="1">
        <f t="array" ref="T20">SUMPRODUCT(ISNUMBER( SEARCH('13 Space Heating Costs'!$C$7:$AW$7,'12 Space Heating Subcomponents'!G38)) *'13 Space Heating Costs'!$C$20:$AW$20)</f>
        <v>3876.4671807482146</v>
      </c>
      <c r="U20" s="403" cm="1">
        <f t="array" ref="U20">SUMPRODUCT(ISNUMBER( SEARCH('13 Space Heating Costs'!$C$7:$AW$7,'12 Space Heating Subcomponents'!H38)) *'13 Space Heating Costs'!$C$20:$AW$20)</f>
        <v>5194.8005140815476</v>
      </c>
      <c r="V20" s="403" cm="1">
        <f t="array" ref="V20">SUMPRODUCT(ISNUMBER( SEARCH('13 Space Heating Costs'!$C$7:$AW$7,'12 Space Heating Subcomponents'!I38)) *'13 Space Heating Costs'!$C$20:$AW$20)</f>
        <v>3869.800514081548</v>
      </c>
      <c r="W20" s="403" cm="1">
        <f t="array" ref="W20">SUMPRODUCT(ISNUMBER( SEARCH('13 Space Heating Costs'!$C$7:$AW$7,'12 Space Heating Subcomponents'!J38)) *'13 Space Heating Costs'!$C$20:$AW$20)</f>
        <v>5194.8005140815476</v>
      </c>
      <c r="X20" s="403" cm="1">
        <f t="array" ref="X20">SUMPRODUCT(ISNUMBER( SEARCH('13 Space Heating Costs'!$C$7:$AW$7,'12 Space Heating Subcomponents'!K38)) *'13 Space Heating Costs'!$C$20:$AW$20)</f>
        <v>3719.800514081548</v>
      </c>
      <c r="Y20" s="403" cm="1">
        <f t="array" ref="Y20">SUMPRODUCT(ISNUMBER( SEARCH('13 Space Heating Costs'!$C$7:$AW$7,'12 Space Heating Subcomponents'!L38)) *'13 Space Heating Costs'!$C$20:$AW$20)</f>
        <v>3669.800514081548</v>
      </c>
      <c r="Z20" s="403" cm="1">
        <f t="array" ref="Z20">SUMPRODUCT(ISNUMBER( SEARCH('13 Space Heating Costs'!$C$7:$AW$7,'12 Space Heating Subcomponents'!M38)) *'13 Space Heating Costs'!$C$20:$AW$20)</f>
        <v>4269.8005140815476</v>
      </c>
      <c r="AA20" s="403" cm="1">
        <f t="array" ref="AA20">SUMPRODUCT(ISNUMBER( SEARCH('13 Space Heating Costs'!$C$7:$AW$7,'12 Space Heating Subcomponents'!N38)) *'13 Space Heating Costs'!$C$20:$AW$20)</f>
        <v>4444.7047053145652</v>
      </c>
      <c r="AB20" s="403" cm="1">
        <f t="array" ref="AB20">SUMPRODUCT(ISNUMBER( SEARCH('13 Space Heating Costs'!$C$7:$AW$7,'12 Space Heating Subcomponents'!O38)) *'13 Space Heating Costs'!$C$20:$AW$20)</f>
        <v>4269.8005140815476</v>
      </c>
      <c r="AC20" s="403" cm="1">
        <f t="array" ref="AC20">SUMPRODUCT(ISNUMBER( SEARCH('13 Space Heating Costs'!$C$7:$AW$7,'12 Space Heating Subcomponents'!P38)) *'13 Space Heating Costs'!$C$20:$AW$20)</f>
        <v>4844.8005140815476</v>
      </c>
      <c r="AD20" s="426"/>
      <c r="AE20" s="58"/>
      <c r="AF20" s="1106"/>
      <c r="AG20" s="366" t="s">
        <v>252</v>
      </c>
      <c r="AH20" s="366" t="s">
        <v>253</v>
      </c>
      <c r="AI20" s="403" cm="1">
        <f t="array" ref="AI20">SUMPRODUCT(ISNUMBER( SEARCH('13 Space Heating Costs'!$C$7:$AW$7,'12 Space Heating Subcomponents'!G54)) *'13 Space Heating Costs'!$C$20:$AW$20)</f>
        <v>3876.4671807482146</v>
      </c>
      <c r="AJ20" s="403" cm="1">
        <f t="array" ref="AJ20">SUMPRODUCT(ISNUMBER( SEARCH('13 Space Heating Costs'!$C$7:$AW$7,'12 Space Heating Subcomponents'!H54)) *'13 Space Heating Costs'!$C$20:$AW$20)</f>
        <v>5194.8005140815476</v>
      </c>
      <c r="AK20" s="403" cm="1">
        <f t="array" ref="AK20">SUMPRODUCT(ISNUMBER( SEARCH('13 Space Heating Costs'!$C$7:$AW$7,'12 Space Heating Subcomponents'!I54)) *'13 Space Heating Costs'!$C$20:$AW$20)</f>
        <v>3869.800514081548</v>
      </c>
      <c r="AL20" s="403" cm="1">
        <f t="array" ref="AL20">SUMPRODUCT(ISNUMBER( SEARCH('13 Space Heating Costs'!$C$7:$AW$7,'12 Space Heating Subcomponents'!J54)) *'13 Space Heating Costs'!$C$20:$AW$20)</f>
        <v>5194.8005140815476</v>
      </c>
      <c r="AM20" s="403" cm="1">
        <f t="array" ref="AM20">SUMPRODUCT(ISNUMBER( SEARCH('13 Space Heating Costs'!$C$7:$AW$7,'12 Space Heating Subcomponents'!K54)) *'13 Space Heating Costs'!$C$20:$AW$20)</f>
        <v>3719.800514081548</v>
      </c>
      <c r="AN20" s="403" cm="1">
        <f t="array" ref="AN20">SUMPRODUCT(ISNUMBER( SEARCH('13 Space Heating Costs'!$C$7:$AW$7,'12 Space Heating Subcomponents'!L54)) *'13 Space Heating Costs'!$C$20:$AW$20)</f>
        <v>3669.800514081548</v>
      </c>
      <c r="AO20" s="403" cm="1">
        <f t="array" ref="AO20">SUMPRODUCT(ISNUMBER( SEARCH('13 Space Heating Costs'!$C$7:$AW$7,'12 Space Heating Subcomponents'!M54)) *'13 Space Heating Costs'!$C$20:$AW$20)</f>
        <v>4269.8005140815476</v>
      </c>
      <c r="AP20" s="403" cm="1">
        <f t="array" ref="AP20">SUMPRODUCT(ISNUMBER( SEARCH('13 Space Heating Costs'!$C$7:$AW$7,'12 Space Heating Subcomponents'!N54)) *'13 Space Heating Costs'!$C$20:$AW$20)</f>
        <v>4444.7047053145652</v>
      </c>
      <c r="AQ20" s="403" cm="1">
        <f t="array" ref="AQ20">SUMPRODUCT(ISNUMBER( SEARCH('13 Space Heating Costs'!$C$7:$AW$7,'12 Space Heating Subcomponents'!O54)) *'13 Space Heating Costs'!$C$20:$AW$20)</f>
        <v>4269.8005140815476</v>
      </c>
      <c r="AR20" s="403" cm="1">
        <f t="array" ref="AR20">SUMPRODUCT(ISNUMBER( SEARCH('13 Space Heating Costs'!$C$7:$AW$7,'12 Space Heating Subcomponents'!P54)) *'13 Space Heating Costs'!$C$20:$AW$20)</f>
        <v>4844.8005140815476</v>
      </c>
      <c r="AS20" s="426"/>
      <c r="AT20" s="58"/>
    </row>
    <row r="21" spans="1:46" s="61" customFormat="1" ht="79.900000000000006"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B22" s="1107" t="s">
        <v>1070</v>
      </c>
      <c r="C22" s="1108"/>
      <c r="D22" s="1108"/>
      <c r="E22" s="1108"/>
      <c r="F22" s="1108"/>
      <c r="G22" s="1108"/>
      <c r="H22" s="1109"/>
      <c r="I22"/>
      <c r="Q22" s="1107" t="s">
        <v>1071</v>
      </c>
      <c r="R22" s="1108"/>
      <c r="S22" s="1108"/>
      <c r="T22" s="1108"/>
      <c r="U22" s="1108"/>
      <c r="V22" s="1108"/>
      <c r="W22" s="1109"/>
      <c r="X22"/>
      <c r="AF22" s="1107" t="s">
        <v>1075</v>
      </c>
      <c r="AG22" s="1108"/>
      <c r="AH22" s="1108"/>
      <c r="AI22" s="1108"/>
      <c r="AJ22" s="1108"/>
      <c r="AK22" s="1108"/>
      <c r="AL22" s="1109"/>
    </row>
    <row r="23" spans="1:46" s="5" customFormat="1" ht="79.900000000000006"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row>
    <row r="24" spans="1:46" s="5" customFormat="1" ht="79.900000000000006"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row>
    <row r="25" spans="1:46" s="5" customFormat="1" ht="79.900000000000006" customHeight="1" x14ac:dyDescent="0.25">
      <c r="B25" s="1114"/>
      <c r="C25" s="1115"/>
      <c r="D25" s="1122"/>
      <c r="E25" s="1122"/>
      <c r="F25" s="1122"/>
      <c r="G25" s="1122"/>
      <c r="H25" s="1124"/>
      <c r="I25"/>
      <c r="Q25" s="1114"/>
      <c r="R25" s="1115"/>
      <c r="S25" s="1122"/>
      <c r="T25" s="1122"/>
      <c r="U25" s="1122"/>
      <c r="V25" s="1122"/>
      <c r="W25" s="1124"/>
      <c r="X25"/>
      <c r="AF25" s="1114"/>
      <c r="AG25" s="1115"/>
      <c r="AH25" s="179"/>
      <c r="AI25" s="179"/>
      <c r="AJ25" s="179"/>
      <c r="AK25" s="179"/>
      <c r="AL25" s="180"/>
    </row>
    <row r="26" spans="1:46" s="5" customFormat="1" ht="199.9" customHeight="1" x14ac:dyDescent="0.25">
      <c r="B26" s="1104" t="s">
        <v>952</v>
      </c>
      <c r="C26" s="149" t="s">
        <v>246</v>
      </c>
      <c r="D26" s="143" cm="1">
        <f t="array" ref="D26">SUMPRODUCT(ISNUMBER(SEARCH('16 Water Heating Costs'!$E$42:$AE$42,'16 Water Heating Costs'!F10)) *'16 Water Heating Costs'!$E$55:$AE$55)</f>
        <v>0</v>
      </c>
      <c r="E26" s="143" cm="1">
        <f t="array" ref="E26">SUMPRODUCT(ISNUMBER(SEARCH('16 Water Heating Costs'!$E$42:$AE$42,'16 Water Heating Costs'!G10)) *'16 Water Heating Costs'!$E$55:$AE$55)</f>
        <v>1115.5650462542221</v>
      </c>
      <c r="F26" s="143" cm="1">
        <f t="array" ref="F26">SUMPRODUCT(ISNUMBER(SEARCH('16 Water Heating Costs'!$E$42:$AE$42,'16 Water Heating Costs'!H10)) *'16 Water Heating Costs'!$E$55:$AE$55)</f>
        <v>1115.5650462542221</v>
      </c>
      <c r="G26" s="143" cm="1">
        <f t="array" ref="G26">SUMPRODUCT(ISNUMBER(SEARCH('16 Water Heating Costs'!$E$42:$AE$42,'16 Water Heating Costs'!I10)) *'16 Water Heating Costs'!$E$55:$AE$55)</f>
        <v>1115.5650462542221</v>
      </c>
      <c r="H26" s="150" cm="1">
        <f t="array" ref="H26">SUMPRODUCT(ISNUMBER(SEARCH('16 Water Heating Costs'!$E$42:$AE$42,'16 Water Heating Costs'!J10)) *'16 Water Heating Costs'!$E$55:$AE$55)</f>
        <v>882.61007345286771</v>
      </c>
      <c r="I26"/>
      <c r="Q26" s="1104" t="s">
        <v>952</v>
      </c>
      <c r="R26" s="149" t="s">
        <v>246</v>
      </c>
      <c r="S26" s="143" cm="1">
        <f t="array" ref="S26">SUMPRODUCT(ISNUMBER(SEARCH('16 Water Heating Costs'!$E$42:$AE$42,'16 Water Heating Costs'!N10)) *'16 Water Heating Costs'!$E$55:$AE$55)</f>
        <v>0</v>
      </c>
      <c r="T26" s="143" cm="1">
        <f t="array" ref="T26">SUMPRODUCT(ISNUMBER(SEARCH('16 Water Heating Costs'!$E$42:$AE$42,'16 Water Heating Costs'!O10)) *'16 Water Heating Costs'!$E$55:$AE$55)</f>
        <v>1115.5650462542221</v>
      </c>
      <c r="U26" s="143" cm="1">
        <f t="array" ref="U26">SUMPRODUCT(ISNUMBER(SEARCH('16 Water Heating Costs'!$E$42:$AE$42,'16 Water Heating Costs'!P10)) *'16 Water Heating Costs'!$E$55:$AE$55)</f>
        <v>1115.5650462542221</v>
      </c>
      <c r="V26" s="143" cm="1">
        <f t="array" ref="V26">SUMPRODUCT(ISNUMBER(SEARCH('16 Water Heating Costs'!$E$42:$AE$42,'16 Water Heating Costs'!Q10)) *'16 Water Heating Costs'!$E$55:$AE$55)</f>
        <v>1115.5650462542221</v>
      </c>
      <c r="W26" s="150" cm="1">
        <f t="array" ref="W26">SUMPRODUCT(ISNUMBER(SEARCH('16 Water Heating Costs'!$E$42:$AE$42,'16 Water Heating Costs'!R10)) *'16 Water Heating Costs'!$E$55:$AE$55)</f>
        <v>882.61007345286771</v>
      </c>
      <c r="X26"/>
      <c r="AF26" s="1104" t="s">
        <v>952</v>
      </c>
      <c r="AG26" s="149" t="s">
        <v>246</v>
      </c>
      <c r="AH26" s="143" cm="1">
        <f t="array" ref="AH26">SUMPRODUCT(ISNUMBER(SEARCH('16 Water Heating Costs'!$E$42:$AE$42,'16 Water Heating Costs'!V10)) *'16 Water Heating Costs'!$E$55:$AE$55)</f>
        <v>0</v>
      </c>
      <c r="AI26" s="143" cm="1">
        <f t="array" ref="AI26">SUMPRODUCT(ISNUMBER(SEARCH('16 Water Heating Costs'!$E$42:$AE$42,'16 Water Heating Costs'!W10)) *'16 Water Heating Costs'!$E$55:$AE$55)</f>
        <v>1115.5650462542221</v>
      </c>
      <c r="AJ26" s="143" cm="1">
        <f t="array" ref="AJ26">SUMPRODUCT(ISNUMBER(SEARCH('16 Water Heating Costs'!$E$42:$AE$42,'16 Water Heating Costs'!X10)) *'16 Water Heating Costs'!$E$55:$AE$55)</f>
        <v>1115.5650462542221</v>
      </c>
      <c r="AK26" s="143" cm="1">
        <f t="array" ref="AK26">SUMPRODUCT(ISNUMBER(SEARCH('16 Water Heating Costs'!$E$42:$AE$42,'16 Water Heating Costs'!Y10)) *'16 Water Heating Costs'!$E$55:$AE$55)</f>
        <v>1115.5650462542221</v>
      </c>
      <c r="AL26" s="150" cm="1">
        <f t="array" ref="AL26">SUMPRODUCT(ISNUMBER(SEARCH('16 Water Heating Costs'!$E$42:$AE$42,'16 Water Heating Costs'!Z10)) *'16 Water Heating Costs'!$E$55:$AE$55)</f>
        <v>882.61007345286771</v>
      </c>
    </row>
    <row r="27" spans="1:46" s="5" customFormat="1" ht="199.9" customHeight="1" x14ac:dyDescent="0.25">
      <c r="B27" s="1105"/>
      <c r="C27" s="152" t="s">
        <v>244</v>
      </c>
      <c r="D27" s="142"/>
      <c r="E27" s="142"/>
      <c r="F27" s="142"/>
      <c r="G27" s="142"/>
      <c r="H27" s="144"/>
      <c r="I27"/>
      <c r="Q27" s="1105"/>
      <c r="R27" s="152" t="s">
        <v>244</v>
      </c>
      <c r="S27" s="142"/>
      <c r="T27" s="142"/>
      <c r="U27" s="142"/>
      <c r="V27" s="142"/>
      <c r="W27" s="144"/>
      <c r="X27"/>
      <c r="AF27" s="1119"/>
      <c r="AG27" s="152" t="s">
        <v>244</v>
      </c>
      <c r="AH27" s="142"/>
      <c r="AI27" s="142"/>
      <c r="AJ27" s="142"/>
      <c r="AK27" s="142"/>
      <c r="AL27" s="144"/>
    </row>
    <row r="28" spans="1:46" s="5" customFormat="1" ht="199.9" customHeight="1" x14ac:dyDescent="0.25">
      <c r="B28" s="1105"/>
      <c r="C28" s="152" t="s">
        <v>86</v>
      </c>
      <c r="D28" s="143" cm="1">
        <f t="array" ref="D28">SUMPRODUCT(ISNUMBER(SEARCH('16 Water Heating Costs'!$E$42:$AE$42,'16 Water Heating Costs'!F12)) *'16 Water Heating Costs'!$E$55:$AE$55)</f>
        <v>3683.4745649230772</v>
      </c>
      <c r="E28" s="143" cm="1">
        <f t="array" ref="E28">SUMPRODUCT(ISNUMBER(SEARCH('16 Water Heating Costs'!$E$42:$AE$42,'16 Water Heating Costs'!G12)) *'16 Water Heating Costs'!$E$55:$AE$55)</f>
        <v>3177.1758259729181</v>
      </c>
      <c r="F28" s="143" cm="1">
        <f t="array" ref="F28">SUMPRODUCT(ISNUMBER(SEARCH('16 Water Heating Costs'!$E$42:$AE$42,'16 Water Heating Costs'!H12)) *'16 Water Heating Costs'!$E$55:$AE$55)</f>
        <v>2261.7013148070705</v>
      </c>
      <c r="G28" s="143" cm="1">
        <f t="array" ref="G28">SUMPRODUCT(ISNUMBER(SEARCH('16 Water Heating Costs'!$E$42:$AE$42,'16 Water Heating Costs'!I12)) *'16 Water Heating Costs'!$E$55:$AE$55)</f>
        <v>3177.1758259729181</v>
      </c>
      <c r="H28" s="150" cm="1">
        <f t="array" ref="H28">SUMPRODUCT(ISNUMBER(SEARCH('16 Water Heating Costs'!$E$42:$AE$42,'16 Water Heating Costs'!J12)) *'16 Water Heating Costs'!$E$55:$AE$55)</f>
        <v>3683.4745649230772</v>
      </c>
      <c r="I28"/>
      <c r="Q28" s="1105"/>
      <c r="R28" s="152" t="s">
        <v>86</v>
      </c>
      <c r="S28" s="143" cm="1">
        <f t="array" ref="S28">SUMPRODUCT(ISNUMBER(SEARCH('16 Water Heating Costs'!$E$42:$AE$42,'16 Water Heating Costs'!N12)) *'16 Water Heating Costs'!$E$55:$AE$55)</f>
        <v>4296.7732501160062</v>
      </c>
      <c r="T28" s="143" cm="1">
        <f t="array" ref="T28">SUMPRODUCT(ISNUMBER(SEARCH('16 Water Heating Costs'!$E$42:$AE$42,'16 Water Heating Costs'!O12)) *'16 Water Heating Costs'!$E$55:$AE$55)</f>
        <v>3790.4745111658476</v>
      </c>
      <c r="U28" s="143" cm="1">
        <f t="array" ref="U28">SUMPRODUCT(ISNUMBER(SEARCH('16 Water Heating Costs'!$E$42:$AE$42,'16 Water Heating Costs'!P12)) *'16 Water Heating Costs'!$E$55:$AE$55)</f>
        <v>2875</v>
      </c>
      <c r="V28" s="143" cm="1">
        <f t="array" ref="V28">SUMPRODUCT(ISNUMBER(SEARCH('16 Water Heating Costs'!$E$42:$AE$42,'16 Water Heating Costs'!Q12)) *'16 Water Heating Costs'!$E$55:$AE$55)</f>
        <v>3790.4745111658476</v>
      </c>
      <c r="W28" s="150" cm="1">
        <f t="array" ref="W28">SUMPRODUCT(ISNUMBER(SEARCH('16 Water Heating Costs'!$E$42:$AE$42,'16 Water Heating Costs'!R12)) *'16 Water Heating Costs'!$E$55:$AE$55)</f>
        <v>4296.7732501160062</v>
      </c>
      <c r="X28"/>
      <c r="AF28" s="1119"/>
      <c r="AG28" s="152" t="s">
        <v>86</v>
      </c>
      <c r="AH28" s="143" cm="1">
        <f t="array" ref="AH28">SUMPRODUCT(ISNUMBER(SEARCH('16 Water Heating Costs'!$E$42:$AE$42,'16 Water Heating Costs'!V12)) *'16 Water Heating Costs'!$E$55:$AE$55)</f>
        <v>3181.7732501160067</v>
      </c>
      <c r="AI28" s="143" cm="1">
        <f t="array" ref="AI28">SUMPRODUCT(ISNUMBER(SEARCH('16 Water Heating Costs'!$E$42:$AE$42,'16 Water Heating Costs'!W12)) *'16 Water Heating Costs'!$E$55:$AE$55)</f>
        <v>2675.4745111658476</v>
      </c>
      <c r="AJ28" s="143" cm="1">
        <f t="array" ref="AJ28">SUMPRODUCT(ISNUMBER(SEARCH('16 Water Heating Costs'!$E$42:$AE$42,'16 Water Heating Costs'!X12)) *'16 Water Heating Costs'!$E$55:$AE$55)</f>
        <v>1760</v>
      </c>
      <c r="AK28" s="143" cm="1">
        <f t="array" ref="AK28">SUMPRODUCT(ISNUMBER(SEARCH('16 Water Heating Costs'!$E$42:$AE$42,'16 Water Heating Costs'!Y12)) *'16 Water Heating Costs'!$E$55:$AE$55)</f>
        <v>2675.4745111658476</v>
      </c>
      <c r="AL28" s="150" cm="1">
        <f t="array" ref="AL28">SUMPRODUCT(ISNUMBER(SEARCH('16 Water Heating Costs'!$E$42:$AE$42,'16 Water Heating Costs'!Z12)) *'16 Water Heating Costs'!$E$55:$AE$55)</f>
        <v>3181.7732501160067</v>
      </c>
    </row>
    <row r="29" spans="1:46" s="5" customFormat="1" ht="199.9" customHeight="1" x14ac:dyDescent="0.25">
      <c r="B29" s="1105"/>
      <c r="C29" s="152" t="s">
        <v>242</v>
      </c>
      <c r="D29" s="143" cm="1">
        <f t="array" ref="D29">SUMPRODUCT(ISNUMBER(SEARCH('16 Water Heating Costs'!$E$42:$AE$42,'16 Water Heating Costs'!F13)) *'16 Water Heating Costs'!$E$55:$AE$55)</f>
        <v>3683.4745649230772</v>
      </c>
      <c r="E29" s="143" cm="1">
        <f t="array" ref="E29">SUMPRODUCT(ISNUMBER(SEARCH('16 Water Heating Costs'!$E$42:$AE$42,'16 Water Heating Costs'!G13)) *'16 Water Heating Costs'!$E$55:$AE$55)</f>
        <v>3177.1758259729181</v>
      </c>
      <c r="F29" s="143" cm="1">
        <f t="array" ref="F29">SUMPRODUCT(ISNUMBER(SEARCH('16 Water Heating Costs'!$E$42:$AE$42,'16 Water Heating Costs'!H13)) *'16 Water Heating Costs'!$E$55:$AE$55)</f>
        <v>3177.1758259729181</v>
      </c>
      <c r="G29" s="143" cm="1">
        <f t="array" ref="G29">SUMPRODUCT(ISNUMBER(SEARCH('16 Water Heating Costs'!$E$42:$AE$42,'16 Water Heating Costs'!I13)) *'16 Water Heating Costs'!$E$55:$AE$55)</f>
        <v>2261.7013148070705</v>
      </c>
      <c r="H29" s="150" cm="1">
        <f t="array" ref="H29">SUMPRODUCT(ISNUMBER(SEARCH('16 Water Heating Costs'!$E$42:$AE$42,'16 Water Heating Costs'!J13)) *'16 Water Heating Costs'!$E$55:$AE$55)</f>
        <v>3683.4745649230772</v>
      </c>
      <c r="I29"/>
      <c r="Q29" s="1105"/>
      <c r="R29" s="152" t="s">
        <v>242</v>
      </c>
      <c r="S29" s="143" cm="1">
        <f t="array" ref="S29">SUMPRODUCT(ISNUMBER(SEARCH('16 Water Heating Costs'!$E$42:$AE$42,'16 Water Heating Costs'!N13)) *'16 Water Heating Costs'!$E$55:$AE$55)</f>
        <v>4296.7732501160062</v>
      </c>
      <c r="T29" s="143" cm="1">
        <f t="array" ref="T29">SUMPRODUCT(ISNUMBER(SEARCH('16 Water Heating Costs'!$E$42:$AE$42,'16 Water Heating Costs'!O13)) *'16 Water Heating Costs'!$E$55:$AE$55)</f>
        <v>3790.4745111658476</v>
      </c>
      <c r="U29" s="143" cm="1">
        <f t="array" ref="U29">SUMPRODUCT(ISNUMBER(SEARCH('16 Water Heating Costs'!$E$42:$AE$42,'16 Water Heating Costs'!P13)) *'16 Water Heating Costs'!$E$55:$AE$55)</f>
        <v>3790.4745111658476</v>
      </c>
      <c r="V29" s="143" cm="1">
        <f t="array" ref="V29">SUMPRODUCT(ISNUMBER(SEARCH('16 Water Heating Costs'!$E$42:$AE$42,'16 Water Heating Costs'!Q13)) *'16 Water Heating Costs'!$E$55:$AE$55)</f>
        <v>2875</v>
      </c>
      <c r="W29" s="150" cm="1">
        <f t="array" ref="W29">SUMPRODUCT(ISNUMBER(SEARCH('16 Water Heating Costs'!$E$42:$AE$42,'16 Water Heating Costs'!R13)) *'16 Water Heating Costs'!$E$55:$AE$55)</f>
        <v>4296.7732501160062</v>
      </c>
      <c r="X29"/>
      <c r="AF29" s="1119"/>
      <c r="AG29" s="152" t="s">
        <v>242</v>
      </c>
      <c r="AH29" s="143" cm="1">
        <f t="array" ref="AH29">SUMPRODUCT(ISNUMBER(SEARCH('16 Water Heating Costs'!$E$42:$AE$42,'16 Water Heating Costs'!V13)) *'16 Water Heating Costs'!$E$55:$AE$55)</f>
        <v>3181.7732501160067</v>
      </c>
      <c r="AI29" s="143" cm="1">
        <f t="array" ref="AI29">SUMPRODUCT(ISNUMBER(SEARCH('16 Water Heating Costs'!$E$42:$AE$42,'16 Water Heating Costs'!W13)) *'16 Water Heating Costs'!$E$55:$AE$55)</f>
        <v>2675.4745111658476</v>
      </c>
      <c r="AJ29" s="143" cm="1">
        <f t="array" ref="AJ29">SUMPRODUCT(ISNUMBER(SEARCH('16 Water Heating Costs'!$E$42:$AE$42,'16 Water Heating Costs'!X13)) *'16 Water Heating Costs'!$E$55:$AE$55)</f>
        <v>2675.4745111658476</v>
      </c>
      <c r="AK29" s="143" cm="1">
        <f t="array" ref="AK29">SUMPRODUCT(ISNUMBER(SEARCH('16 Water Heating Costs'!$E$42:$AE$42,'16 Water Heating Costs'!Y13)) *'16 Water Heating Costs'!$E$55:$AE$55)</f>
        <v>1760</v>
      </c>
      <c r="AL29" s="150" cm="1">
        <f t="array" ref="AL29">SUMPRODUCT(ISNUMBER(SEARCH('16 Water Heating Costs'!$E$42:$AE$42,'16 Water Heating Costs'!Z13)) *'16 Water Heating Costs'!$E$55:$AE$55)</f>
        <v>3181.7732501160067</v>
      </c>
    </row>
    <row r="30" spans="1:46" s="5" customFormat="1" ht="199.9" customHeight="1" thickBot="1" x14ac:dyDescent="0.3">
      <c r="B30" s="1106"/>
      <c r="C30" s="153" t="s">
        <v>172</v>
      </c>
      <c r="D30" s="145"/>
      <c r="E30" s="145"/>
      <c r="F30" s="145"/>
      <c r="G30" s="145"/>
      <c r="H30" s="426"/>
      <c r="I30"/>
      <c r="Q30" s="1106"/>
      <c r="R30" s="153" t="s">
        <v>172</v>
      </c>
      <c r="S30" s="145"/>
      <c r="T30" s="145"/>
      <c r="U30" s="145"/>
      <c r="V30" s="145"/>
      <c r="W30" s="426"/>
      <c r="X30"/>
      <c r="AF30" s="1120"/>
      <c r="AG30" s="153" t="s">
        <v>172</v>
      </c>
      <c r="AH30" s="145"/>
      <c r="AI30" s="145"/>
      <c r="AJ30" s="145"/>
      <c r="AK30" s="145"/>
      <c r="AL30" s="426"/>
    </row>
    <row r="31" spans="1:46" s="5" customFormat="1" ht="79.900000000000006" customHeight="1" thickBot="1" x14ac:dyDescent="0.3">
      <c r="B31"/>
      <c r="C31"/>
      <c r="D31"/>
      <c r="E31"/>
      <c r="F31"/>
      <c r="G31"/>
      <c r="H31"/>
      <c r="I31"/>
      <c r="Q31"/>
      <c r="R31"/>
      <c r="S31"/>
      <c r="T31"/>
      <c r="U31"/>
      <c r="V31"/>
      <c r="W31"/>
      <c r="X31"/>
      <c r="AF31"/>
      <c r="AG31"/>
      <c r="AH31"/>
      <c r="AI31"/>
      <c r="AJ31"/>
      <c r="AK31"/>
      <c r="AL31"/>
    </row>
    <row r="32" spans="1:46" s="5" customFormat="1" ht="175.15" customHeight="1" x14ac:dyDescent="0.25">
      <c r="B32" s="1107" t="s">
        <v>1073</v>
      </c>
      <c r="C32" s="1108"/>
      <c r="D32" s="1108"/>
      <c r="E32" s="1108"/>
      <c r="F32" s="1108"/>
      <c r="G32" s="1108"/>
      <c r="H32" s="1109"/>
      <c r="I32"/>
      <c r="Q32" s="1107" t="s">
        <v>1072</v>
      </c>
      <c r="R32" s="1108"/>
      <c r="S32" s="1108"/>
      <c r="T32" s="1108"/>
      <c r="U32" s="1108"/>
      <c r="V32" s="1108"/>
      <c r="W32" s="1109"/>
      <c r="X32"/>
      <c r="AF32" s="1107" t="s">
        <v>1076</v>
      </c>
      <c r="AG32" s="1108"/>
      <c r="AH32" s="1108"/>
      <c r="AI32" s="1108"/>
      <c r="AJ32" s="1108"/>
      <c r="AK32" s="1108"/>
      <c r="AL32" s="1109"/>
    </row>
    <row r="33" spans="2:38" s="5" customFormat="1" ht="79.900000000000006" customHeight="1" x14ac:dyDescent="0.25">
      <c r="B33" s="1110" t="s">
        <v>977</v>
      </c>
      <c r="C33" s="1111"/>
      <c r="D33" s="1116" t="s">
        <v>951</v>
      </c>
      <c r="E33" s="1117"/>
      <c r="F33" s="1117"/>
      <c r="G33" s="1117"/>
      <c r="H33" s="1118"/>
      <c r="I33"/>
      <c r="Q33" s="1110" t="s">
        <v>977</v>
      </c>
      <c r="R33" s="1111"/>
      <c r="S33" s="1116" t="s">
        <v>951</v>
      </c>
      <c r="T33" s="1117"/>
      <c r="U33" s="1117"/>
      <c r="V33" s="1117"/>
      <c r="W33" s="1118"/>
      <c r="X33"/>
      <c r="AF33" s="1110" t="s">
        <v>977</v>
      </c>
      <c r="AG33" s="1111"/>
      <c r="AH33" s="1116" t="s">
        <v>951</v>
      </c>
      <c r="AI33" s="1117"/>
      <c r="AJ33" s="1117"/>
      <c r="AK33" s="1117"/>
      <c r="AL33" s="1118"/>
    </row>
    <row r="34" spans="2:38" s="5" customFormat="1" ht="79.900000000000006" customHeight="1" x14ac:dyDescent="0.25">
      <c r="B34" s="1112"/>
      <c r="C34" s="1113"/>
      <c r="D34" s="1121" t="s">
        <v>246</v>
      </c>
      <c r="E34" s="1121" t="s">
        <v>244</v>
      </c>
      <c r="F34" s="1121" t="s">
        <v>86</v>
      </c>
      <c r="G34" s="1121" t="s">
        <v>242</v>
      </c>
      <c r="H34" s="1123" t="s">
        <v>172</v>
      </c>
      <c r="I34"/>
      <c r="Q34" s="1112"/>
      <c r="R34" s="1113"/>
      <c r="S34" s="1121" t="s">
        <v>246</v>
      </c>
      <c r="T34" s="1121" t="s">
        <v>244</v>
      </c>
      <c r="U34" s="1121" t="s">
        <v>86</v>
      </c>
      <c r="V34" s="1121" t="s">
        <v>242</v>
      </c>
      <c r="W34" s="1123" t="s">
        <v>172</v>
      </c>
      <c r="X34"/>
      <c r="AF34" s="1112"/>
      <c r="AG34" s="1113"/>
      <c r="AH34" s="668" t="s">
        <v>246</v>
      </c>
      <c r="AI34" s="668" t="s">
        <v>244</v>
      </c>
      <c r="AJ34" s="668" t="s">
        <v>86</v>
      </c>
      <c r="AK34" s="668" t="s">
        <v>242</v>
      </c>
      <c r="AL34" s="677" t="s">
        <v>172</v>
      </c>
    </row>
    <row r="35" spans="2:38" s="5" customFormat="1" ht="79.900000000000006" customHeight="1" x14ac:dyDescent="0.25">
      <c r="B35" s="1114"/>
      <c r="C35" s="1115"/>
      <c r="D35" s="1122"/>
      <c r="E35" s="1122"/>
      <c r="F35" s="1122"/>
      <c r="G35" s="1122"/>
      <c r="H35" s="1124"/>
      <c r="I35"/>
      <c r="Q35" s="1114"/>
      <c r="R35" s="1115"/>
      <c r="S35" s="1122"/>
      <c r="T35" s="1122"/>
      <c r="U35" s="1122"/>
      <c r="V35" s="1122"/>
      <c r="W35" s="1124"/>
      <c r="X35"/>
      <c r="AF35" s="1114"/>
      <c r="AG35" s="1115"/>
      <c r="AH35" s="179"/>
      <c r="AI35" s="179"/>
      <c r="AJ35" s="179"/>
      <c r="AK35" s="179"/>
      <c r="AL35" s="180"/>
    </row>
    <row r="36" spans="2:38" s="5" customFormat="1" ht="199.9" customHeight="1" x14ac:dyDescent="0.25">
      <c r="B36" s="1104" t="s">
        <v>989</v>
      </c>
      <c r="C36" s="149" t="s">
        <v>246</v>
      </c>
      <c r="D36" s="142"/>
      <c r="E36" s="143" cm="1">
        <f t="array" ref="E36">SUMPRODUCT(ISNUMBER(SEARCH('16 Water Heating Costs'!$E$42:$AE$42,'16 Water Heating Costs'!G22)) *'16 Water Heating Costs'!$E$55:$AE$55)</f>
        <v>1115.5650462542221</v>
      </c>
      <c r="F36" s="143" cm="1">
        <f t="array" ref="F36">SUMPRODUCT(ISNUMBER(SEARCH('16 Water Heating Costs'!$E$42:$AE$42,'16 Water Heating Costs'!H22)) *'16 Water Heating Costs'!$E$55:$AE$55)</f>
        <v>1115.5650462542221</v>
      </c>
      <c r="G36" s="143" cm="1">
        <f t="array" ref="G36">SUMPRODUCT(ISNUMBER(SEARCH('16 Water Heating Costs'!$E$42:$AE$42,'16 Water Heating Costs'!I22)) *'16 Water Heating Costs'!$E$55:$AE$55)</f>
        <v>1115.5650462542221</v>
      </c>
      <c r="H36" s="150" cm="1">
        <f t="array" ref="H36">SUMPRODUCT(ISNUMBER(SEARCH('16 Water Heating Costs'!$E$42:$AE$42,'16 Water Heating Costs'!J22)) *'16 Water Heating Costs'!$E$55:$AE$55)</f>
        <v>882.61007345286771</v>
      </c>
      <c r="I36"/>
      <c r="Q36" s="1104" t="s">
        <v>989</v>
      </c>
      <c r="R36" s="149" t="s">
        <v>246</v>
      </c>
      <c r="S36" s="142"/>
      <c r="T36" s="143" cm="1">
        <f t="array" ref="T36">SUMPRODUCT(ISNUMBER(SEARCH('16 Water Heating Costs'!$E$42:$AE$42,'16 Water Heating Costs'!O22)) *'16 Water Heating Costs'!$E$55:$AE$55)</f>
        <v>1115.5650462542221</v>
      </c>
      <c r="U36" s="143" cm="1">
        <f t="array" ref="U36">SUMPRODUCT(ISNUMBER(SEARCH('16 Water Heating Costs'!$E$42:$AE$42,'16 Water Heating Costs'!P22)) *'16 Water Heating Costs'!$E$55:$AE$55)</f>
        <v>1115.5650462542221</v>
      </c>
      <c r="V36" s="143" cm="1">
        <f t="array" ref="V36">SUMPRODUCT(ISNUMBER(SEARCH('16 Water Heating Costs'!$E$42:$AE$42,'16 Water Heating Costs'!Q22)) *'16 Water Heating Costs'!$E$55:$AE$55)</f>
        <v>1115.5650462542221</v>
      </c>
      <c r="W36" s="150" cm="1">
        <f t="array" ref="W36">SUMPRODUCT(ISNUMBER(SEARCH('16 Water Heating Costs'!$E$42:$AE$42,'16 Water Heating Costs'!R22)) *'16 Water Heating Costs'!$E$55:$AE$55)</f>
        <v>882.61007345286771</v>
      </c>
      <c r="X36"/>
      <c r="AF36" s="1104" t="s">
        <v>989</v>
      </c>
      <c r="AG36" s="149" t="s">
        <v>246</v>
      </c>
      <c r="AH36" s="687"/>
      <c r="AI36" s="143" cm="1">
        <f t="array" ref="AI36">SUMPRODUCT(ISNUMBER(SEARCH('16 Water Heating Costs'!$E$42:$AE$42,'16 Water Heating Costs'!W22)) *'16 Water Heating Costs'!$E$55:$AE$55)</f>
        <v>1115.5650462542221</v>
      </c>
      <c r="AJ36" s="143" cm="1">
        <f t="array" ref="AJ36">SUMPRODUCT(ISNUMBER(SEARCH('16 Water Heating Costs'!$E$42:$AE$42,'16 Water Heating Costs'!X22)) *'16 Water Heating Costs'!$E$55:$AE$55)</f>
        <v>1115.5650462542221</v>
      </c>
      <c r="AK36" s="143" cm="1">
        <f t="array" ref="AK36">SUMPRODUCT(ISNUMBER(SEARCH('16 Water Heating Costs'!$E$42:$AE$42,'16 Water Heating Costs'!Y22)) *'16 Water Heating Costs'!$E$55:$AE$55)</f>
        <v>1115.5650462542221</v>
      </c>
      <c r="AL36" s="150" cm="1">
        <f t="array" ref="AL36">SUMPRODUCT(ISNUMBER(SEARCH('16 Water Heating Costs'!$E$42:$AE$42,'16 Water Heating Costs'!Z22)) *'16 Water Heating Costs'!$E$55:$AE$55)</f>
        <v>882.61007345286771</v>
      </c>
    </row>
    <row r="37" spans="2:38" s="5" customFormat="1" ht="199.9" customHeight="1" x14ac:dyDescent="0.25">
      <c r="B37" s="1105"/>
      <c r="C37" s="152" t="s">
        <v>244</v>
      </c>
      <c r="D37" s="143" cm="1">
        <f t="array" ref="D37">SUMPRODUCT(ISNUMBER(SEARCH('16 Water Heating Costs'!$E$42:$AE$42,'16 Water Heating Costs'!F23)) *'16 Water Heating Costs'!$E$55:$AE$55)</f>
        <v>2373.443165554193</v>
      </c>
      <c r="E37" s="142"/>
      <c r="F37" s="143" cm="1">
        <f t="array" ref="F37">SUMPRODUCT(ISNUMBER(SEARCH('16 Water Heating Costs'!$E$42:$AE$42,'16 Water Heating Costs'!H23)) *'16 Water Heating Costs'!$E$55:$AE$55)</f>
        <v>1867.1444266040339</v>
      </c>
      <c r="G37" s="143" cm="1">
        <f t="array" ref="G37">SUMPRODUCT(ISNUMBER(SEARCH('16 Water Heating Costs'!$E$42:$AE$42,'16 Water Heating Costs'!I23)) *'16 Water Heating Costs'!$E$55:$AE$55)</f>
        <v>1867.1444266040339</v>
      </c>
      <c r="H37" s="150" cm="1">
        <f t="array" ref="H37">SUMPRODUCT(ISNUMBER(SEARCH('16 Water Heating Costs'!$E$42:$AE$42,'16 Water Heating Costs'!J23)) *'16 Water Heating Costs'!$E$55:$AE$55)</f>
        <v>2373.443165554193</v>
      </c>
      <c r="I37"/>
      <c r="Q37" s="1105"/>
      <c r="R37" s="152" t="s">
        <v>244</v>
      </c>
      <c r="S37" s="143" cm="1">
        <f t="array" ref="S37">SUMPRODUCT(ISNUMBER(SEARCH('16 Water Heating Costs'!$E$42:$AE$42,'16 Water Heating Costs'!N23)) *'16 Water Heating Costs'!$E$55:$AE$55)</f>
        <v>2984.56809466509</v>
      </c>
      <c r="T37" s="142"/>
      <c r="U37" s="143" cm="1">
        <f t="array" ref="U37">SUMPRODUCT(ISNUMBER(SEARCH('16 Water Heating Costs'!$E$42:$AE$42,'16 Water Heating Costs'!P23)) *'16 Water Heating Costs'!$E$55:$AE$55)</f>
        <v>2478.2693557149314</v>
      </c>
      <c r="V37" s="143" cm="1">
        <f t="array" ref="V37">SUMPRODUCT(ISNUMBER(SEARCH('16 Water Heating Costs'!$E$42:$AE$42,'16 Water Heating Costs'!Q23)) *'16 Water Heating Costs'!$E$55:$AE$55)</f>
        <v>2478.2693557149314</v>
      </c>
      <c r="W37" s="150" cm="1">
        <f t="array" ref="W37">SUMPRODUCT(ISNUMBER(SEARCH('16 Water Heating Costs'!$E$42:$AE$42,'16 Water Heating Costs'!R23)) *'16 Water Heating Costs'!$E$55:$AE$55)</f>
        <v>2984.56809466509</v>
      </c>
      <c r="X37"/>
      <c r="AF37" s="1119"/>
      <c r="AG37" s="152" t="s">
        <v>244</v>
      </c>
      <c r="AH37" s="143" cm="1">
        <f t="array" ref="AH37">SUMPRODUCT(ISNUMBER(SEARCH('16 Water Heating Costs'!$E$42:$AE$42,'16 Water Heating Costs'!V23)) *'16 Water Heating Costs'!$E$55:$AE$55)</f>
        <v>2180.4563458349621</v>
      </c>
      <c r="AI37" s="687"/>
      <c r="AJ37" s="143" cm="1">
        <f t="array" ref="AJ37">SUMPRODUCT(ISNUMBER(SEARCH('16 Water Heating Costs'!$E$42:$AE$42,'16 Water Heating Costs'!X23)) *'16 Water Heating Costs'!$E$55:$AE$55)</f>
        <v>1674.157606884803</v>
      </c>
      <c r="AK37" s="143" cm="1">
        <f t="array" ref="AK37">SUMPRODUCT(ISNUMBER(SEARCH('16 Water Heating Costs'!$E$42:$AE$42,'16 Water Heating Costs'!Y23)) *'16 Water Heating Costs'!$E$55:$AE$55)</f>
        <v>1674.157606884803</v>
      </c>
      <c r="AL37" s="150" cm="1">
        <f t="array" ref="AL37">SUMPRODUCT(ISNUMBER(SEARCH('16 Water Heating Costs'!$E$42:$AE$42,'16 Water Heating Costs'!Z23)) *'16 Water Heating Costs'!$E$55:$AE$55)</f>
        <v>2180.4563458349621</v>
      </c>
    </row>
    <row r="38" spans="2:38" s="5" customFormat="1" ht="199.9" customHeight="1" x14ac:dyDescent="0.25">
      <c r="B38" s="1105"/>
      <c r="C38" s="152" t="s">
        <v>86</v>
      </c>
      <c r="D38" s="143" cm="1">
        <f t="array" ref="D38">SUMPRODUCT(ISNUMBER(SEARCH('16 Water Heating Costs'!$E$42:$AE$42,'16 Water Heating Costs'!F24)) *'16 Water Heating Costs'!$E$55:$AE$55)</f>
        <v>1826.7427957889734</v>
      </c>
      <c r="E38" s="143" cm="1">
        <f t="array" ref="E38">SUMPRODUCT(ISNUMBER(SEARCH('16 Water Heating Costs'!$E$42:$AE$42,'16 Water Heating Costs'!G24)) *'16 Water Heating Costs'!$E$55:$AE$55)</f>
        <v>1320.4440568388143</v>
      </c>
      <c r="F38" s="142"/>
      <c r="G38" s="143" cm="1">
        <f t="array" ref="G38">SUMPRODUCT(ISNUMBER(SEARCH('16 Water Heating Costs'!$E$42:$AE$42,'16 Water Heating Costs'!I24)) *'16 Water Heating Costs'!$E$55:$AE$55)</f>
        <v>1320.4440568388143</v>
      </c>
      <c r="H38" s="150" cm="1">
        <f t="array" ref="H38">SUMPRODUCT(ISNUMBER(SEARCH('16 Water Heating Costs'!$E$42:$AE$42,'16 Water Heating Costs'!J24)) *'16 Water Heating Costs'!$E$55:$AE$55)</f>
        <v>1826.7427957889734</v>
      </c>
      <c r="I38"/>
      <c r="Q38" s="1105"/>
      <c r="R38" s="152" t="s">
        <v>86</v>
      </c>
      <c r="S38" s="143" cm="1">
        <f t="array" ref="S38">SUMPRODUCT(ISNUMBER(SEARCH('16 Water Heating Costs'!$E$42:$AE$42,'16 Water Heating Costs'!N24)) *'16 Water Heating Costs'!$E$55:$AE$55)</f>
        <v>1964.2537117515135</v>
      </c>
      <c r="T38" s="143" cm="1">
        <f t="array" ref="T38">SUMPRODUCT(ISNUMBER(SEARCH('16 Water Heating Costs'!$E$42:$AE$42,'16 Water Heating Costs'!O24)) *'16 Water Heating Costs'!$E$55:$AE$55)</f>
        <v>1457.9549728013544</v>
      </c>
      <c r="U38" s="142"/>
      <c r="V38" s="143" cm="1">
        <f t="array" ref="V38">SUMPRODUCT(ISNUMBER(SEARCH('16 Water Heating Costs'!$E$42:$AE$42,'16 Water Heating Costs'!Q24)) *'16 Water Heating Costs'!$E$55:$AE$55)</f>
        <v>1457.9549728013544</v>
      </c>
      <c r="W38" s="150" cm="1">
        <f t="array" ref="W38">SUMPRODUCT(ISNUMBER(SEARCH('16 Water Heating Costs'!$E$42:$AE$42,'16 Water Heating Costs'!R24)) *'16 Water Heating Costs'!$E$55:$AE$55)</f>
        <v>1964.2537117515135</v>
      </c>
      <c r="X38"/>
      <c r="AF38" s="1119"/>
      <c r="AG38" s="152" t="s">
        <v>86</v>
      </c>
      <c r="AH38" s="143" cm="1">
        <f t="array" ref="AH38">SUMPRODUCT(ISNUMBER(SEARCH('16 Water Heating Costs'!$E$42:$AE$42,'16 Water Heating Costs'!V24)) *'16 Water Heating Costs'!$E$55:$AE$55)</f>
        <v>1714.2537117515135</v>
      </c>
      <c r="AI38" s="143" cm="1">
        <f t="array" ref="AI38">SUMPRODUCT(ISNUMBER(SEARCH('16 Water Heating Costs'!$E$42:$AE$42,'16 Water Heating Costs'!W24)) *'16 Water Heating Costs'!$E$55:$AE$55)</f>
        <v>1207.9549728013544</v>
      </c>
      <c r="AJ38" s="687"/>
      <c r="AK38" s="143" cm="1">
        <f t="array" ref="AK38">SUMPRODUCT(ISNUMBER(SEARCH('16 Water Heating Costs'!$E$42:$AE$42,'16 Water Heating Costs'!Y24)) *'16 Water Heating Costs'!$E$55:$AE$55)</f>
        <v>1207.9549728013544</v>
      </c>
      <c r="AL38" s="150" cm="1">
        <f t="array" ref="AL38">SUMPRODUCT(ISNUMBER(SEARCH('16 Water Heating Costs'!$E$42:$AE$42,'16 Water Heating Costs'!Z24)) *'16 Water Heating Costs'!$E$55:$AE$55)</f>
        <v>1714.2537117515135</v>
      </c>
    </row>
    <row r="39" spans="2:38" s="5" customFormat="1" ht="199.9" customHeight="1" x14ac:dyDescent="0.25">
      <c r="B39" s="1105"/>
      <c r="C39" s="152" t="s">
        <v>242</v>
      </c>
      <c r="D39" s="143" cm="1">
        <f t="array" ref="D39">SUMPRODUCT(ISNUMBER(SEARCH('16 Water Heating Costs'!$E$42:$AE$42,'16 Water Heating Costs'!F25)) *'16 Water Heating Costs'!$E$55:$AE$55)</f>
        <v>1826.7427957889734</v>
      </c>
      <c r="E39" s="143" cm="1">
        <f t="array" ref="E39">SUMPRODUCT(ISNUMBER(SEARCH('16 Water Heating Costs'!$E$42:$AE$42,'16 Water Heating Costs'!G25)) *'16 Water Heating Costs'!$E$55:$AE$55)</f>
        <v>1320.4440568388143</v>
      </c>
      <c r="F39" s="143" cm="1">
        <f t="array" ref="F39">SUMPRODUCT(ISNUMBER(SEARCH('16 Water Heating Costs'!$E$42:$AE$42,'16 Water Heating Costs'!H25)) *'16 Water Heating Costs'!$E$55:$AE$55)</f>
        <v>1320.4440568388143</v>
      </c>
      <c r="G39" s="142"/>
      <c r="H39" s="150" cm="1">
        <f t="array" ref="H39">SUMPRODUCT(ISNUMBER(SEARCH('16 Water Heating Costs'!$E$42:$AE$42,'16 Water Heating Costs'!J25)) *'16 Water Heating Costs'!$E$55:$AE$55)</f>
        <v>1826.7427957889734</v>
      </c>
      <c r="I39"/>
      <c r="Q39" s="1105"/>
      <c r="R39" s="152" t="s">
        <v>242</v>
      </c>
      <c r="S39" s="143" cm="1">
        <f t="array" ref="S39">SUMPRODUCT(ISNUMBER(SEARCH('16 Water Heating Costs'!$E$42:$AE$42,'16 Water Heating Costs'!N25)) *'16 Water Heating Costs'!$E$55:$AE$55)</f>
        <v>1964.2537117515135</v>
      </c>
      <c r="T39" s="143" cm="1">
        <f t="array" ref="T39">SUMPRODUCT(ISNUMBER(SEARCH('16 Water Heating Costs'!$E$42:$AE$42,'16 Water Heating Costs'!O25)) *'16 Water Heating Costs'!$E$55:$AE$55)</f>
        <v>1457.9549728013544</v>
      </c>
      <c r="U39" s="143" cm="1">
        <f t="array" ref="U39">SUMPRODUCT(ISNUMBER(SEARCH('16 Water Heating Costs'!$E$42:$AE$42,'16 Water Heating Costs'!P25)) *'16 Water Heating Costs'!$E$55:$AE$55)</f>
        <v>1457.9549728013544</v>
      </c>
      <c r="V39" s="142"/>
      <c r="W39" s="150" cm="1">
        <f t="array" ref="W39">SUMPRODUCT(ISNUMBER(SEARCH('16 Water Heating Costs'!$E$42:$AE$42,'16 Water Heating Costs'!R25)) *'16 Water Heating Costs'!$E$55:$AE$55)</f>
        <v>1964.2537117515135</v>
      </c>
      <c r="X39"/>
      <c r="AF39" s="1119"/>
      <c r="AG39" s="152" t="s">
        <v>242</v>
      </c>
      <c r="AH39" s="143" cm="1">
        <f t="array" ref="AH39">SUMPRODUCT(ISNUMBER(SEARCH('16 Water Heating Costs'!$E$42:$AE$42,'16 Water Heating Costs'!V25)) *'16 Water Heating Costs'!$E$55:$AE$55)</f>
        <v>1714.2537117515135</v>
      </c>
      <c r="AI39" s="143" cm="1">
        <f t="array" ref="AI39">SUMPRODUCT(ISNUMBER(SEARCH('16 Water Heating Costs'!$E$42:$AE$42,'16 Water Heating Costs'!W25)) *'16 Water Heating Costs'!$E$55:$AE$55)</f>
        <v>1207.9549728013544</v>
      </c>
      <c r="AJ39" s="143" cm="1">
        <f t="array" ref="AJ39">SUMPRODUCT(ISNUMBER(SEARCH('16 Water Heating Costs'!$E$42:$AE$42,'16 Water Heating Costs'!X25)) *'16 Water Heating Costs'!$E$55:$AE$55)</f>
        <v>1207.9549728013544</v>
      </c>
      <c r="AK39" s="687"/>
      <c r="AL39" s="150" cm="1">
        <f t="array" ref="AL39">SUMPRODUCT(ISNUMBER(SEARCH('16 Water Heating Costs'!$E$42:$AE$42,'16 Water Heating Costs'!Z25)) *'16 Water Heating Costs'!$E$55:$AE$55)</f>
        <v>1714.2537117515135</v>
      </c>
    </row>
    <row r="40" spans="2:38" s="5" customFormat="1" ht="199.9" customHeight="1" thickBot="1" x14ac:dyDescent="0.3">
      <c r="B40" s="1106"/>
      <c r="C40" s="153" t="s">
        <v>172</v>
      </c>
      <c r="D40" s="354" cm="1">
        <f t="array" ref="D40">SUMPRODUCT(ISNUMBER(SEARCH('16 Water Heating Costs'!$E$42:$AE$42,'16 Water Heating Costs'!F26)) *'16 Water Heating Costs'!$E$55:$AE$55)</f>
        <v>80</v>
      </c>
      <c r="E40" s="354" cm="1">
        <f t="array" ref="E40">SUMPRODUCT(ISNUMBER(SEARCH('16 Water Heating Costs'!$E$42:$AE$42,'16 Water Heating Costs'!G26)) *'16 Water Heating Costs'!$E$55:$AE$55)</f>
        <v>1115.5650462542221</v>
      </c>
      <c r="F40" s="354" cm="1">
        <f t="array" ref="F40">SUMPRODUCT(ISNUMBER(SEARCH('16 Water Heating Costs'!$E$42:$AE$42,'16 Water Heating Costs'!H26)) *'16 Water Heating Costs'!$E$55:$AE$55)</f>
        <v>1115.5650462542221</v>
      </c>
      <c r="G40" s="354" cm="1">
        <f t="array" ref="G40">SUMPRODUCT(ISNUMBER(SEARCH('16 Water Heating Costs'!$E$42:$AE$42,'16 Water Heating Costs'!I26)) *'16 Water Heating Costs'!$E$55:$AE$55)</f>
        <v>1115.5650462542221</v>
      </c>
      <c r="H40" s="426"/>
      <c r="I40"/>
      <c r="Q40" s="1106"/>
      <c r="R40" s="153" t="s">
        <v>172</v>
      </c>
      <c r="S40" s="354" cm="1">
        <f t="array" ref="S40">SUMPRODUCT(ISNUMBER(SEARCH('16 Water Heating Costs'!$E$42:$AE$42,'16 Water Heating Costs'!N26)) *'16 Water Heating Costs'!$E$55:$AE$55)</f>
        <v>80</v>
      </c>
      <c r="T40" s="354" cm="1">
        <f t="array" ref="T40">SUMPRODUCT(ISNUMBER(SEARCH('16 Water Heating Costs'!$E$42:$AE$42,'16 Water Heating Costs'!O26)) *'16 Water Heating Costs'!$E$55:$AE$55)</f>
        <v>1115.5650462542221</v>
      </c>
      <c r="U40" s="354" cm="1">
        <f t="array" ref="U40">SUMPRODUCT(ISNUMBER(SEARCH('16 Water Heating Costs'!$E$42:$AE$42,'16 Water Heating Costs'!P26)) *'16 Water Heating Costs'!$E$55:$AE$55)</f>
        <v>1115.5650462542221</v>
      </c>
      <c r="V40" s="354" cm="1">
        <f t="array" ref="V40">SUMPRODUCT(ISNUMBER(SEARCH('16 Water Heating Costs'!$E$42:$AE$42,'16 Water Heating Costs'!Q26)) *'16 Water Heating Costs'!$E$55:$AE$55)</f>
        <v>1115.5650462542221</v>
      </c>
      <c r="W40" s="426"/>
      <c r="X40"/>
      <c r="AF40" s="1120"/>
      <c r="AG40" s="153" t="s">
        <v>172</v>
      </c>
      <c r="AH40" s="354" cm="1">
        <f t="array" ref="AH40">SUMPRODUCT(ISNUMBER(SEARCH('16 Water Heating Costs'!$E$42:$AE$42,'16 Water Heating Costs'!V26)) *'16 Water Heating Costs'!$E$55:$AE$55)</f>
        <v>80</v>
      </c>
      <c r="AI40" s="354" cm="1">
        <f t="array" ref="AI40">SUMPRODUCT(ISNUMBER(SEARCH('16 Water Heating Costs'!$E$42:$AE$42,'16 Water Heating Costs'!W26)) *'16 Water Heating Costs'!$E$55:$AE$55)</f>
        <v>1115.5650462542221</v>
      </c>
      <c r="AJ40" s="354" cm="1">
        <f t="array" ref="AJ40">SUMPRODUCT(ISNUMBER(SEARCH('16 Water Heating Costs'!$E$42:$AE$42,'16 Water Heating Costs'!X26)) *'16 Water Heating Costs'!$E$55:$AE$55)</f>
        <v>1115.5650462542221</v>
      </c>
      <c r="AK40" s="354" cm="1">
        <f t="array" ref="AK40">SUMPRODUCT(ISNUMBER(SEARCH('16 Water Heating Costs'!$E$42:$AE$42,'16 Water Heating Costs'!Y26)) *'16 Water Heating Costs'!$E$55:$AE$55)</f>
        <v>1115.5650462542221</v>
      </c>
      <c r="AL40" s="688"/>
    </row>
    <row r="41" spans="2:38" s="5" customFormat="1" ht="79.900000000000006" customHeight="1" thickBot="1" x14ac:dyDescent="0.3">
      <c r="B41"/>
      <c r="C41"/>
      <c r="D41"/>
      <c r="E41"/>
      <c r="F41"/>
      <c r="G41"/>
      <c r="H41"/>
      <c r="I41"/>
      <c r="Q41"/>
      <c r="R41"/>
      <c r="S41"/>
      <c r="T41"/>
      <c r="U41"/>
      <c r="V41"/>
      <c r="W41"/>
      <c r="X41"/>
      <c r="AF41"/>
      <c r="AG41"/>
      <c r="AH41"/>
      <c r="AI41"/>
      <c r="AJ41"/>
      <c r="AK41"/>
      <c r="AL41"/>
    </row>
    <row r="42" spans="2:38" s="5" customFormat="1" ht="210.75" customHeight="1" x14ac:dyDescent="0.25">
      <c r="B42" s="1107" t="s">
        <v>1629</v>
      </c>
      <c r="C42" s="1108"/>
      <c r="D42" s="1108"/>
      <c r="E42" s="1108"/>
      <c r="F42" s="1108"/>
      <c r="G42" s="1108"/>
      <c r="H42" s="1109"/>
      <c r="I42"/>
      <c r="Q42" s="1107" t="s">
        <v>1630</v>
      </c>
      <c r="R42" s="1108"/>
      <c r="S42" s="1108"/>
      <c r="T42" s="1108"/>
      <c r="U42" s="1108"/>
      <c r="V42" s="1108"/>
      <c r="W42" s="1109"/>
      <c r="X42"/>
      <c r="AF42" s="1107" t="s">
        <v>1631</v>
      </c>
      <c r="AG42" s="1108"/>
      <c r="AH42" s="1108"/>
      <c r="AI42" s="1108"/>
      <c r="AJ42" s="1108"/>
      <c r="AK42" s="1108"/>
      <c r="AL42" s="1109"/>
    </row>
    <row r="43" spans="2:38" s="5" customFormat="1" ht="79.900000000000006" customHeight="1" x14ac:dyDescent="0.25">
      <c r="B43" s="1110" t="s">
        <v>977</v>
      </c>
      <c r="C43" s="1111"/>
      <c r="D43" s="1116" t="s">
        <v>990</v>
      </c>
      <c r="E43" s="1117"/>
      <c r="F43" s="1117"/>
      <c r="G43" s="1117"/>
      <c r="H43" s="1118"/>
      <c r="I43"/>
      <c r="Q43" s="1110" t="s">
        <v>977</v>
      </c>
      <c r="R43" s="1111"/>
      <c r="S43" s="1116" t="s">
        <v>990</v>
      </c>
      <c r="T43" s="1117"/>
      <c r="U43" s="1117"/>
      <c r="V43" s="1117"/>
      <c r="W43" s="1118"/>
      <c r="X43"/>
      <c r="AF43" s="1110" t="s">
        <v>977</v>
      </c>
      <c r="AG43" s="1111"/>
      <c r="AH43" s="1116" t="s">
        <v>990</v>
      </c>
      <c r="AI43" s="1117"/>
      <c r="AJ43" s="1117"/>
      <c r="AK43" s="1117"/>
      <c r="AL43" s="1118"/>
    </row>
    <row r="44" spans="2:38" s="5" customFormat="1" ht="79.900000000000006" customHeight="1" x14ac:dyDescent="0.25">
      <c r="B44" s="1112"/>
      <c r="C44" s="1113"/>
      <c r="D44" s="1121" t="s">
        <v>246</v>
      </c>
      <c r="E44" s="1121" t="s">
        <v>244</v>
      </c>
      <c r="F44" s="1121" t="s">
        <v>86</v>
      </c>
      <c r="G44" s="1121" t="s">
        <v>242</v>
      </c>
      <c r="H44" s="1123" t="s">
        <v>172</v>
      </c>
      <c r="I44"/>
      <c r="Q44" s="1112"/>
      <c r="R44" s="1113"/>
      <c r="S44" s="1121" t="s">
        <v>246</v>
      </c>
      <c r="T44" s="1121" t="s">
        <v>244</v>
      </c>
      <c r="U44" s="1121" t="s">
        <v>86</v>
      </c>
      <c r="V44" s="1121" t="s">
        <v>242</v>
      </c>
      <c r="W44" s="1123" t="s">
        <v>172</v>
      </c>
      <c r="X44"/>
      <c r="AF44" s="1112"/>
      <c r="AG44" s="1113"/>
      <c r="AH44" s="668" t="s">
        <v>246</v>
      </c>
      <c r="AI44" s="668" t="s">
        <v>244</v>
      </c>
      <c r="AJ44" s="668" t="s">
        <v>86</v>
      </c>
      <c r="AK44" s="668" t="s">
        <v>242</v>
      </c>
      <c r="AL44" s="677" t="s">
        <v>172</v>
      </c>
    </row>
    <row r="45" spans="2:38" s="5" customFormat="1" ht="79.900000000000006" customHeight="1" x14ac:dyDescent="0.25">
      <c r="B45" s="1114"/>
      <c r="C45" s="1115"/>
      <c r="D45" s="1122"/>
      <c r="E45" s="1122"/>
      <c r="F45" s="1122"/>
      <c r="G45" s="1122"/>
      <c r="H45" s="1124"/>
      <c r="I45"/>
      <c r="Q45" s="1114"/>
      <c r="R45" s="1115"/>
      <c r="S45" s="1122"/>
      <c r="T45" s="1122"/>
      <c r="U45" s="1122"/>
      <c r="V45" s="1122"/>
      <c r="W45" s="1124"/>
      <c r="X45"/>
      <c r="AF45" s="1114"/>
      <c r="AG45" s="1115"/>
      <c r="AH45" s="179"/>
      <c r="AI45" s="179"/>
      <c r="AJ45" s="179"/>
      <c r="AK45" s="179"/>
      <c r="AL45" s="180"/>
    </row>
    <row r="46" spans="2:38" s="5" customFormat="1" ht="199.9" customHeight="1" x14ac:dyDescent="0.25">
      <c r="B46" s="1104" t="s">
        <v>952</v>
      </c>
      <c r="C46" s="149" t="s">
        <v>246</v>
      </c>
      <c r="D46" s="142"/>
      <c r="E46" s="143" cm="1">
        <f t="array" ref="E46">SUMPRODUCT(ISNUMBER(SEARCH('16 Water Heating Costs'!$E$42:$AE$42,'16 Water Heating Costs'!G33)) *'16 Water Heating Costs'!$E$55:$AE$55)</f>
        <v>1115.5650462542221</v>
      </c>
      <c r="F46" s="143" cm="1">
        <f t="array" ref="F46">SUMPRODUCT(ISNUMBER(SEARCH('16 Water Heating Costs'!$E$42:$AE$42,'16 Water Heating Costs'!H33)) *'16 Water Heating Costs'!$E$55:$AE$55)</f>
        <v>1115.5650462542221</v>
      </c>
      <c r="G46" s="143" cm="1">
        <f t="array" ref="G46">SUMPRODUCT(ISNUMBER(SEARCH('16 Water Heating Costs'!$E$42:$AE$42,'16 Water Heating Costs'!I33)) *'16 Water Heating Costs'!$E$55:$AE$55)</f>
        <v>1115.5650462542221</v>
      </c>
      <c r="H46" s="150" cm="1">
        <f t="array" ref="H46">SUMPRODUCT(ISNUMBER(SEARCH('16 Water Heating Costs'!$E$42:$AE$42,'16 Water Heating Costs'!J33)) *'16 Water Heating Costs'!$E$55:$AE$55)</f>
        <v>882.61007345286771</v>
      </c>
      <c r="I46"/>
      <c r="Q46" s="1104" t="s">
        <v>952</v>
      </c>
      <c r="R46" s="149" t="s">
        <v>246</v>
      </c>
      <c r="S46" s="142"/>
      <c r="T46" s="143" cm="1">
        <f t="array" ref="T46">SUMPRODUCT(ISNUMBER(SEARCH('16 Water Heating Costs'!$E$42:$AE$42,'16 Water Heating Costs'!O33)) *'16 Water Heating Costs'!$E$55:$AE$55)</f>
        <v>1115.5650462542221</v>
      </c>
      <c r="U46" s="143" cm="1">
        <f t="array" ref="U46">SUMPRODUCT(ISNUMBER(SEARCH('16 Water Heating Costs'!$E$42:$AE$42,'16 Water Heating Costs'!P33)) *'16 Water Heating Costs'!$E$55:$AE$55)</f>
        <v>1115.5650462542221</v>
      </c>
      <c r="V46" s="143" cm="1">
        <f t="array" ref="V46">SUMPRODUCT(ISNUMBER(SEARCH('16 Water Heating Costs'!$E$42:$AE$42,'16 Water Heating Costs'!Q33)) *'16 Water Heating Costs'!$E$55:$AE$55)</f>
        <v>1115.5650462542221</v>
      </c>
      <c r="W46" s="150" cm="1">
        <f t="array" ref="W46">SUMPRODUCT(ISNUMBER(SEARCH('16 Water Heating Costs'!$E$42:$AE$42,'16 Water Heating Costs'!R33)) *'16 Water Heating Costs'!$E$55:$AE$55)</f>
        <v>882.61007345286771</v>
      </c>
      <c r="X46"/>
      <c r="AF46" s="1104" t="s">
        <v>952</v>
      </c>
      <c r="AG46" s="149" t="s">
        <v>246</v>
      </c>
      <c r="AH46" s="142"/>
      <c r="AI46" s="143" cm="1">
        <f t="array" ref="AI46">SUMPRODUCT(ISNUMBER(SEARCH('16 Water Heating Costs'!$E$42:$AE$42,'16 Water Heating Costs'!W33)) *'16 Water Heating Costs'!$E$55:$AE$55)</f>
        <v>1115.5650462542221</v>
      </c>
      <c r="AJ46" s="143" cm="1">
        <f t="array" ref="AJ46">SUMPRODUCT(ISNUMBER(SEARCH('16 Water Heating Costs'!$E$42:$AE$42,'16 Water Heating Costs'!X33)) *'16 Water Heating Costs'!$E$55:$AE$55)</f>
        <v>1115.5650462542221</v>
      </c>
      <c r="AK46" s="143" cm="1">
        <f t="array" ref="AK46">SUMPRODUCT(ISNUMBER(SEARCH('16 Water Heating Costs'!$E$42:$AE$42,'16 Water Heating Costs'!Y33)) *'16 Water Heating Costs'!$E$55:$AE$55)</f>
        <v>1115.5650462542221</v>
      </c>
      <c r="AL46" s="150" cm="1">
        <f t="array" ref="AL46">SUMPRODUCT(ISNUMBER(SEARCH('16 Water Heating Costs'!$E$42:$AE$42,'16 Water Heating Costs'!Z33)) *'16 Water Heating Costs'!$E$55:$AE$55)</f>
        <v>882.61007345286771</v>
      </c>
    </row>
    <row r="47" spans="2:38" s="5" customFormat="1" ht="199.9" customHeight="1" x14ac:dyDescent="0.25">
      <c r="B47" s="1105"/>
      <c r="C47" s="152" t="s">
        <v>244</v>
      </c>
      <c r="D47" s="142"/>
      <c r="E47" s="142"/>
      <c r="F47" s="142"/>
      <c r="G47" s="142"/>
      <c r="H47" s="144"/>
      <c r="I47"/>
      <c r="Q47" s="1105"/>
      <c r="R47" s="152" t="s">
        <v>244</v>
      </c>
      <c r="S47" s="142"/>
      <c r="T47" s="142"/>
      <c r="U47" s="142"/>
      <c r="V47" s="142"/>
      <c r="W47" s="144"/>
      <c r="X47"/>
      <c r="AF47" s="1119"/>
      <c r="AG47" s="152" t="s">
        <v>244</v>
      </c>
      <c r="AH47" s="142"/>
      <c r="AI47" s="142"/>
      <c r="AJ47" s="142"/>
      <c r="AK47" s="142"/>
      <c r="AL47" s="144"/>
    </row>
    <row r="48" spans="2:38" s="5" customFormat="1" ht="199.9" customHeight="1" x14ac:dyDescent="0.25">
      <c r="B48" s="1105"/>
      <c r="C48" s="152" t="s">
        <v>86</v>
      </c>
      <c r="D48" s="143" cm="1">
        <f t="array" ref="D48">SUMPRODUCT(ISNUMBER(SEARCH('16 Water Heating Costs'!$E$42:$AE$42,'16 Water Heating Costs'!F35)) *'16 Water Heating Costs'!$E$55:$AE$55)</f>
        <v>3683.4745649230772</v>
      </c>
      <c r="E48" s="143" cm="1">
        <f t="array" ref="E48">SUMPRODUCT(ISNUMBER(SEARCH('16 Water Heating Costs'!$E$42:$AE$42,'16 Water Heating Costs'!G35)) *'16 Water Heating Costs'!$E$55:$AE$55)</f>
        <v>2169.6562876084249</v>
      </c>
      <c r="F48" s="142"/>
      <c r="G48" s="143" cm="1">
        <f t="array" ref="G48">SUMPRODUCT(ISNUMBER(SEARCH('16 Water Heating Costs'!$E$42:$AE$42,'16 Water Heating Costs'!I35)) *'16 Water Heating Costs'!$E$55:$AE$55)</f>
        <v>3177.1758259729181</v>
      </c>
      <c r="H48" s="150" cm="1">
        <f t="array" ref="H48">SUMPRODUCT(ISNUMBER(SEARCH('16 Water Heating Costs'!$E$42:$AE$42,'16 Water Heating Costs'!J35)) *'16 Water Heating Costs'!$E$55:$AE$55)</f>
        <v>3683.4745649230772</v>
      </c>
      <c r="I48"/>
      <c r="Q48" s="1105"/>
      <c r="R48" s="152" t="s">
        <v>86</v>
      </c>
      <c r="S48" s="143" cm="1">
        <f t="array" ref="S48">SUMPRODUCT(ISNUMBER(SEARCH('16 Water Heating Costs'!$E$42:$AE$42,'16 Water Heating Costs'!N35)) *'16 Water Heating Costs'!$E$55:$AE$55)</f>
        <v>4296.7732501160062</v>
      </c>
      <c r="T48" s="143" cm="1">
        <f t="array" ref="T48">SUMPRODUCT(ISNUMBER(SEARCH('16 Water Heating Costs'!$E$42:$AE$42,'16 Water Heating Costs'!O35)) *'16 Water Heating Costs'!$E$55:$AE$55)</f>
        <v>2782.9549728013544</v>
      </c>
      <c r="U48" s="142"/>
      <c r="V48" s="143" cm="1">
        <f t="array" ref="V48">SUMPRODUCT(ISNUMBER(SEARCH('16 Water Heating Costs'!$E$42:$AE$42,'16 Water Heating Costs'!Q35)) *'16 Water Heating Costs'!$E$55:$AE$55)</f>
        <v>3790.4745111658476</v>
      </c>
      <c r="W48" s="150" cm="1">
        <f t="array" ref="W48">SUMPRODUCT(ISNUMBER(SEARCH('16 Water Heating Costs'!$E$42:$AE$42,'16 Water Heating Costs'!R35)) *'16 Water Heating Costs'!$E$55:$AE$55)</f>
        <v>4296.7732501160062</v>
      </c>
      <c r="X48"/>
      <c r="AF48" s="1119"/>
      <c r="AG48" s="152" t="s">
        <v>86</v>
      </c>
      <c r="AH48" s="143" cm="1">
        <f t="array" ref="AH48">SUMPRODUCT(ISNUMBER(SEARCH('16 Water Heating Costs'!$E$42:$AE$42,'16 Water Heating Costs'!V35)) *'16 Water Heating Costs'!$E$55:$AE$55)</f>
        <v>3181.7732501160067</v>
      </c>
      <c r="AI48" s="143" cm="1">
        <f t="array" ref="AI48">SUMPRODUCT(ISNUMBER(SEARCH('16 Water Heating Costs'!$E$42:$AE$42,'16 Water Heating Costs'!W35)) *'16 Water Heating Costs'!$E$55:$AE$55)</f>
        <v>2782.9549728013544</v>
      </c>
      <c r="AJ48" s="142"/>
      <c r="AK48" s="143" cm="1">
        <f t="array" ref="AK48">SUMPRODUCT(ISNUMBER(SEARCH('16 Water Heating Costs'!$E$42:$AE$42,'16 Water Heating Costs'!Y35)) *'16 Water Heating Costs'!$E$55:$AE$55)</f>
        <v>2675.4745111658476</v>
      </c>
      <c r="AL48" s="150" cm="1">
        <f t="array" ref="AL48">SUMPRODUCT(ISNUMBER(SEARCH('16 Water Heating Costs'!$E$42:$AE$42,'16 Water Heating Costs'!Z35)) *'16 Water Heating Costs'!$E$55:$AE$55)</f>
        <v>3181.7732501160067</v>
      </c>
    </row>
    <row r="49" spans="1:38" s="5" customFormat="1" ht="199.9" customHeight="1" x14ac:dyDescent="0.25">
      <c r="B49" s="1105"/>
      <c r="C49" s="152" t="s">
        <v>242</v>
      </c>
      <c r="D49" s="143" cm="1">
        <f t="array" ref="D49">SUMPRODUCT(ISNUMBER(SEARCH('16 Water Heating Costs'!$E$42:$AE$42,'16 Water Heating Costs'!F36)) *'16 Water Heating Costs'!$E$55:$AE$55)</f>
        <v>3683.4745649230772</v>
      </c>
      <c r="E49" s="143" cm="1">
        <f t="array" ref="E49">SUMPRODUCT(ISNUMBER(SEARCH('16 Water Heating Costs'!$E$42:$AE$42,'16 Water Heating Costs'!G36)) *'16 Water Heating Costs'!$E$55:$AE$55)</f>
        <v>3177.1758259729181</v>
      </c>
      <c r="F49" s="143" cm="1">
        <f t="array" ref="F49">SUMPRODUCT(ISNUMBER(SEARCH('16 Water Heating Costs'!$E$42:$AE$42,'16 Water Heating Costs'!H36)) *'16 Water Heating Costs'!$E$55:$AE$55)</f>
        <v>3177.1758259729181</v>
      </c>
      <c r="G49" s="142"/>
      <c r="H49" s="150" cm="1">
        <f t="array" ref="H49">SUMPRODUCT(ISNUMBER(SEARCH('16 Water Heating Costs'!$E$42:$AE$42,'16 Water Heating Costs'!J36)) *'16 Water Heating Costs'!$E$55:$AE$55)</f>
        <v>3683.4745649230772</v>
      </c>
      <c r="I49"/>
      <c r="Q49" s="1105"/>
      <c r="R49" s="152" t="s">
        <v>242</v>
      </c>
      <c r="S49" s="143" cm="1">
        <f t="array" ref="S49">SUMPRODUCT(ISNUMBER(SEARCH('16 Water Heating Costs'!$E$42:$AE$42,'16 Water Heating Costs'!N36)) *'16 Water Heating Costs'!$E$55:$AE$55)</f>
        <v>4296.7732501160062</v>
      </c>
      <c r="T49" s="143" cm="1">
        <f t="array" ref="T49">SUMPRODUCT(ISNUMBER(SEARCH('16 Water Heating Costs'!$E$42:$AE$42,'16 Water Heating Costs'!O36)) *'16 Water Heating Costs'!$E$55:$AE$55)</f>
        <v>3790.4745111658476</v>
      </c>
      <c r="U49" s="143" cm="1">
        <f t="array" ref="U49">SUMPRODUCT(ISNUMBER(SEARCH('16 Water Heating Costs'!$E$42:$AE$42,'16 Water Heating Costs'!P36)) *'16 Water Heating Costs'!$E$55:$AE$55)</f>
        <v>3790.4745111658476</v>
      </c>
      <c r="V49" s="142"/>
      <c r="W49" s="150" cm="1">
        <f t="array" ref="W49">SUMPRODUCT(ISNUMBER(SEARCH('16 Water Heating Costs'!$E$42:$AE$42,'16 Water Heating Costs'!R36)) *'16 Water Heating Costs'!$E$55:$AE$55)</f>
        <v>4296.7732501160062</v>
      </c>
      <c r="X49"/>
      <c r="AF49" s="1119"/>
      <c r="AG49" s="152" t="s">
        <v>242</v>
      </c>
      <c r="AH49" s="143" cm="1">
        <f t="array" ref="AH49">SUMPRODUCT(ISNUMBER(SEARCH('16 Water Heating Costs'!$E$42:$AE$42,'16 Water Heating Costs'!V36)) *'16 Water Heating Costs'!$E$55:$AE$55)</f>
        <v>3181.7732501160067</v>
      </c>
      <c r="AI49" s="143" cm="1">
        <f t="array" ref="AI49">SUMPRODUCT(ISNUMBER(SEARCH('16 Water Heating Costs'!$E$42:$AE$42,'16 Water Heating Costs'!W36)) *'16 Water Heating Costs'!$E$55:$AE$55)</f>
        <v>2675.4745111658476</v>
      </c>
      <c r="AJ49" s="143" cm="1">
        <f t="array" ref="AJ49">SUMPRODUCT(ISNUMBER(SEARCH('16 Water Heating Costs'!$E$42:$AE$42,'16 Water Heating Costs'!X36)) *'16 Water Heating Costs'!$E$55:$AE$55)</f>
        <v>2675.4745111658476</v>
      </c>
      <c r="AK49" s="142"/>
      <c r="AL49" s="150" cm="1">
        <f t="array" ref="AL49">SUMPRODUCT(ISNUMBER(SEARCH('16 Water Heating Costs'!$E$42:$AE$42,'16 Water Heating Costs'!Z36)) *'16 Water Heating Costs'!$E$55:$AE$55)</f>
        <v>3181.7732501160067</v>
      </c>
    </row>
    <row r="50" spans="1:38" s="5" customFormat="1" ht="199.9" customHeight="1" thickBot="1" x14ac:dyDescent="0.3">
      <c r="B50" s="1106"/>
      <c r="C50" s="153" t="s">
        <v>172</v>
      </c>
      <c r="D50" s="145"/>
      <c r="E50" s="145"/>
      <c r="F50" s="145"/>
      <c r="G50" s="145"/>
      <c r="H50" s="426"/>
      <c r="I50"/>
      <c r="Q50" s="1106"/>
      <c r="R50" s="153" t="s">
        <v>172</v>
      </c>
      <c r="S50" s="145"/>
      <c r="T50" s="145"/>
      <c r="U50" s="145"/>
      <c r="V50" s="145"/>
      <c r="W50" s="426"/>
      <c r="X50"/>
      <c r="AF50" s="1120"/>
      <c r="AG50" s="153" t="s">
        <v>172</v>
      </c>
      <c r="AH50" s="145"/>
      <c r="AI50" s="145"/>
      <c r="AJ50" s="145"/>
      <c r="AK50" s="145"/>
      <c r="AL50" s="426"/>
    </row>
    <row r="51" spans="1:38" s="5" customFormat="1" ht="79.900000000000006" customHeight="1" thickBot="1" x14ac:dyDescent="0.3"/>
    <row r="52" spans="1:38" ht="175.15" customHeight="1" thickBot="1" x14ac:dyDescent="0.3">
      <c r="A52" s="60"/>
      <c r="B52" s="1135" t="s">
        <v>1074</v>
      </c>
      <c r="C52" s="1136"/>
      <c r="D52" s="1136"/>
      <c r="E52" s="1136"/>
      <c r="F52" s="1136"/>
      <c r="G52" s="1137"/>
      <c r="H52" s="364"/>
      <c r="I52" s="131"/>
      <c r="J52" s="146"/>
      <c r="K52" s="146"/>
      <c r="L52" s="146"/>
      <c r="M52" s="146"/>
      <c r="N52" s="156"/>
      <c r="O52" s="72"/>
    </row>
    <row r="53" spans="1:38" ht="79.900000000000006" customHeight="1" thickBot="1" x14ac:dyDescent="0.3">
      <c r="A53" s="60"/>
      <c r="B53" s="1110" t="s">
        <v>226</v>
      </c>
      <c r="C53" s="1111"/>
      <c r="D53" s="1138" t="s">
        <v>282</v>
      </c>
      <c r="E53" s="1138"/>
      <c r="F53" s="1138"/>
      <c r="G53" s="1139"/>
      <c r="H53" s="183"/>
      <c r="I53" s="146"/>
      <c r="J53" s="146"/>
      <c r="K53" s="146"/>
      <c r="L53" s="146"/>
      <c r="M53" s="156"/>
      <c r="N53" s="72"/>
      <c r="O53" s="57"/>
    </row>
    <row r="54" spans="1:38" ht="199.9" customHeight="1" thickBot="1" x14ac:dyDescent="0.3">
      <c r="A54" s="60"/>
      <c r="B54" s="1114"/>
      <c r="C54" s="1115"/>
      <c r="D54" s="147" t="s">
        <v>246</v>
      </c>
      <c r="E54" s="147" t="s">
        <v>594</v>
      </c>
      <c r="F54" s="147" t="s">
        <v>86</v>
      </c>
      <c r="G54" s="148" t="s">
        <v>242</v>
      </c>
      <c r="H54" s="131"/>
      <c r="I54" s="146"/>
      <c r="J54" s="146"/>
      <c r="K54" s="146"/>
      <c r="L54" s="146"/>
      <c r="M54" s="146"/>
      <c r="N54" s="72"/>
      <c r="O54" s="57"/>
    </row>
    <row r="55" spans="1:38" ht="199.9" customHeight="1" thickBot="1" x14ac:dyDescent="0.3">
      <c r="A55" s="60"/>
      <c r="B55" s="1132" t="s">
        <v>227</v>
      </c>
      <c r="C55" s="147" t="s">
        <v>246</v>
      </c>
      <c r="D55" s="142"/>
      <c r="E55" s="143" cm="1">
        <f t="array" ref="E55">SUMPRODUCT(ISNUMBER(SEARCH('18 Clothes Drying Costs'!$D$16:$N$16,'18 Clothes Drying Costs'!G10)) *'18 Clothes Drying Costs'!$D$29:$N$29)</f>
        <v>723.16827300735577</v>
      </c>
      <c r="F55" s="143" cm="1">
        <f t="array" ref="F55">SUMPRODUCT(ISNUMBER(SEARCH('18 Clothes Drying Costs'!$D$16:$M$16,'18 Clothes Drying Costs'!H10)) *'18 Clothes Drying Costs'!$D$29:$M$29)</f>
        <v>1010.4152341530149</v>
      </c>
      <c r="G55" s="150" cm="1">
        <f t="array" ref="G55">SUMPRODUCT(ISNUMBER(SEARCH('18 Clothes Drying Costs'!$D$16:$M$16,'18 Clothes Drying Costs'!I10)) *'18 Clothes Drying Costs'!$D$29:$M$29)</f>
        <v>1010.4152341530149</v>
      </c>
      <c r="H55" s="131"/>
      <c r="I55" s="146"/>
      <c r="J55" s="146"/>
      <c r="K55" s="146"/>
      <c r="L55" s="146"/>
      <c r="M55" s="146"/>
      <c r="N55" s="72"/>
      <c r="O55" s="57"/>
    </row>
    <row r="56" spans="1:38" ht="199.9" customHeight="1" thickBot="1" x14ac:dyDescent="0.3">
      <c r="A56" s="60"/>
      <c r="B56" s="1132"/>
      <c r="C56" s="147" t="s">
        <v>594</v>
      </c>
      <c r="D56" s="143" cm="1">
        <f t="array" ref="D56">SUMPRODUCT(ISNUMBER(SEARCH('18 Clothes Drying Costs'!$D$16:$M$16,'18 Clothes Drying Costs'!F11)) *'18 Clothes Drying Costs'!$D$29:$M$29)</f>
        <v>100</v>
      </c>
      <c r="E56" s="142"/>
      <c r="F56" s="143" cm="1">
        <f t="array" ref="F56">SUMPRODUCT(ISNUMBER(SEARCH('18 Clothes Drying Costs'!$D$16:$M$16,'18 Clothes Drying Costs'!H11)) *'18 Clothes Drying Costs'!$D$29:$M$29)</f>
        <v>1110.4152341530148</v>
      </c>
      <c r="G56" s="150" cm="1">
        <f t="array" ref="G56">SUMPRODUCT(ISNUMBER(SEARCH('18 Clothes Drying Costs'!$D$16:$M$16,'18 Clothes Drying Costs'!I11)) *'18 Clothes Drying Costs'!$D$29:$M$29)</f>
        <v>1160.4152341530148</v>
      </c>
      <c r="H56" s="131"/>
      <c r="I56" s="146"/>
      <c r="J56" s="146"/>
      <c r="K56" s="146"/>
      <c r="L56" s="146"/>
      <c r="M56" s="146"/>
      <c r="N56" s="72"/>
      <c r="O56" s="57"/>
    </row>
    <row r="57" spans="1:38" ht="199.9" customHeight="1" thickBot="1" x14ac:dyDescent="0.3">
      <c r="A57" s="60"/>
      <c r="B57" s="1132"/>
      <c r="C57" s="147" t="s">
        <v>86</v>
      </c>
      <c r="D57" s="143" cm="1">
        <f t="array" ref="D57">SUMPRODUCT(ISNUMBER(SEARCH('18 Clothes Drying Costs'!$D$16:$M$16,'18 Clothes Drying Costs'!F12)) *'18 Clothes Drying Costs'!$D$29:$M$29)</f>
        <v>1029.5378864451159</v>
      </c>
      <c r="E57" s="143" cm="1">
        <f t="array" ref="E57">SUMPRODUCT(ISNUMBER(SEARCH('18 Clothes Drying Costs'!$D$16:$N$16,'18 Clothes Drying Costs'!G12)) *'18 Clothes Drying Costs'!$D$29:$N$29)</f>
        <v>1702.7061594524716</v>
      </c>
      <c r="F57" s="142"/>
      <c r="G57" s="150" cm="1">
        <f t="array" ref="G57">SUMPRODUCT(ISNUMBER(SEARCH('18 Clothes Drying Costs'!$D$16:$M$16,'18 Clothes Drying Costs'!I12)) *'18 Clothes Drying Costs'!$D$29:$M$29)</f>
        <v>1343.2618395727043</v>
      </c>
      <c r="H57" s="131"/>
      <c r="I57" s="146"/>
      <c r="J57" s="146"/>
      <c r="K57" s="146"/>
      <c r="L57" s="146"/>
      <c r="M57" s="146"/>
      <c r="N57" s="58"/>
      <c r="O57" s="57"/>
    </row>
    <row r="58" spans="1:38" s="61" customFormat="1" ht="199.9" customHeight="1" thickBot="1" x14ac:dyDescent="0.3">
      <c r="A58" s="60"/>
      <c r="B58" s="1133"/>
      <c r="C58" s="137" t="s">
        <v>242</v>
      </c>
      <c r="D58" s="354" cm="1">
        <f t="array" ref="D58">SUMPRODUCT(ISNUMBER(SEARCH('18 Clothes Drying Costs'!$D$16:$M$16,'18 Clothes Drying Costs'!F13)) *'18 Clothes Drying Costs'!$D$29:$M$29)</f>
        <v>1029.5378864451159</v>
      </c>
      <c r="E58" s="354" cm="1">
        <f t="array" ref="E58">SUMPRODUCT(ISNUMBER(SEARCH('18 Clothes Drying Costs'!$D$16:$N$16,'18 Clothes Drying Costs'!G13)) *'18 Clothes Drying Costs'!$D$29:$N$29)</f>
        <v>1752.7061594524716</v>
      </c>
      <c r="F58" s="354" cm="1">
        <f t="array" ref="F58">SUMPRODUCT(ISNUMBER(SEARCH('18 Clothes Drying Costs'!$D$16:$M$16,'18 Clothes Drying Costs'!H13)) *'18 Clothes Drying Costs'!$D$29:$M$29)</f>
        <v>1231.7206298982589</v>
      </c>
      <c r="G58" s="426"/>
      <c r="H58" s="58"/>
      <c r="I58" s="59"/>
      <c r="J58" s="59"/>
      <c r="K58" s="59"/>
      <c r="L58" s="59"/>
      <c r="M58" s="59"/>
      <c r="N58" s="57"/>
    </row>
    <row r="59" spans="1:38" ht="80.099999999999994" customHeight="1" thickBot="1" x14ac:dyDescent="0.3">
      <c r="B59" s="133"/>
      <c r="C59" s="157"/>
      <c r="D59" s="157"/>
      <c r="E59" s="157"/>
      <c r="F59" s="157"/>
      <c r="G59" s="157"/>
      <c r="H59" s="59"/>
      <c r="I59" s="57"/>
      <c r="J59" s="57"/>
      <c r="K59" s="57"/>
      <c r="L59" s="57"/>
      <c r="M59" s="57"/>
      <c r="N59" s="57"/>
      <c r="O59" s="57"/>
    </row>
    <row r="60" spans="1:38" ht="175.15" customHeight="1" x14ac:dyDescent="0.25">
      <c r="A60" s="60"/>
      <c r="B60" s="1107" t="s">
        <v>546</v>
      </c>
      <c r="C60" s="1108"/>
      <c r="D60" s="1108"/>
      <c r="E60" s="1108"/>
      <c r="F60" s="1109"/>
      <c r="G60" s="365"/>
      <c r="H60" s="72"/>
      <c r="I60" s="57"/>
      <c r="J60" s="57"/>
      <c r="K60" s="57"/>
      <c r="L60" s="57"/>
      <c r="M60" s="57"/>
      <c r="N60" s="57"/>
      <c r="O60" s="57"/>
    </row>
    <row r="61" spans="1:38" ht="79.900000000000006" customHeight="1" x14ac:dyDescent="0.25">
      <c r="A61" s="60"/>
      <c r="B61" s="1140" t="s">
        <v>287</v>
      </c>
      <c r="C61" s="1141"/>
      <c r="D61" s="1138" t="s">
        <v>282</v>
      </c>
      <c r="E61" s="1138"/>
      <c r="F61" s="1139"/>
      <c r="G61" s="151"/>
      <c r="H61" s="57"/>
      <c r="I61" s="57"/>
      <c r="J61" s="57"/>
      <c r="K61" s="57"/>
      <c r="L61" s="57"/>
      <c r="M61" s="57"/>
      <c r="N61" s="57"/>
      <c r="O61" s="57"/>
    </row>
    <row r="62" spans="1:38" ht="199.9" customHeight="1" x14ac:dyDescent="0.25">
      <c r="A62" s="60"/>
      <c r="B62" s="1140"/>
      <c r="C62" s="1141"/>
      <c r="D62" s="147" t="s">
        <v>246</v>
      </c>
      <c r="E62" s="147" t="s">
        <v>242</v>
      </c>
      <c r="F62" s="148" t="s">
        <v>86</v>
      </c>
      <c r="G62" s="72"/>
      <c r="H62" s="57"/>
      <c r="I62" s="57"/>
      <c r="J62" s="57"/>
      <c r="K62" s="57"/>
      <c r="L62" s="57"/>
      <c r="M62" s="57"/>
      <c r="N62" s="57"/>
      <c r="O62" s="57"/>
    </row>
    <row r="63" spans="1:38" ht="199.9" customHeight="1" x14ac:dyDescent="0.25">
      <c r="A63" s="60"/>
      <c r="B63" s="1132" t="s">
        <v>227</v>
      </c>
      <c r="C63" s="147" t="s">
        <v>246</v>
      </c>
      <c r="D63" s="427"/>
      <c r="E63" s="143" cm="1">
        <f t="array" ref="E63">SUMPRODUCT(ISNUMBER(SEARCH('17 Cooking Costs'!$E$18:$J$18, '17 Cooking Costs'!H12)) *'17 Cooking Costs'!$E$31:$J$31)</f>
        <v>926.38085806051845</v>
      </c>
      <c r="F63" s="150" cm="1">
        <f t="array" ref="F63">SUMPRODUCT(ISNUMBER(SEARCH('17 Cooking Costs'!$E$18:$J$18, '17 Cooking Costs'!I12)) *'17 Cooking Costs'!$E$31:$J$31)</f>
        <v>926.38085806051845</v>
      </c>
      <c r="G63" s="72"/>
      <c r="H63" s="57"/>
      <c r="I63" s="57"/>
      <c r="J63" s="57"/>
      <c r="K63" s="57"/>
      <c r="L63" s="57"/>
      <c r="M63" s="57"/>
      <c r="N63" s="57"/>
      <c r="O63" s="57"/>
    </row>
    <row r="64" spans="1:38" ht="199.9" customHeight="1" x14ac:dyDescent="0.25">
      <c r="A64" s="60"/>
      <c r="B64" s="1132"/>
      <c r="C64" s="147" t="s">
        <v>242</v>
      </c>
      <c r="D64" s="143" cm="1">
        <f t="array" ref="D64">SUMPRODUCT(ISNUMBER(SEARCH('17 Cooking Costs'!$E$18:$J$18, '17 Cooking Costs'!G13)) *'17 Cooking Costs'!$E$31:$J$31)</f>
        <v>1029.5378864451159</v>
      </c>
      <c r="E64" s="142"/>
      <c r="F64" s="150" cm="1">
        <f t="array" ref="F64">SUMPRODUCT(ISNUMBER(SEARCH('17 Cooking Costs'!$E$18:$J$18, '17 Cooking Costs'!I13)) *'17 Cooking Costs'!$E$31:$J$31)</f>
        <v>1210.895931815601</v>
      </c>
      <c r="G64" s="72"/>
      <c r="H64" s="57"/>
      <c r="I64" s="57"/>
      <c r="J64" s="57"/>
      <c r="K64" s="57"/>
      <c r="L64" s="57"/>
      <c r="M64" s="57"/>
      <c r="N64" s="57"/>
      <c r="O64" s="57"/>
    </row>
    <row r="65" spans="1:15" ht="199.9" customHeight="1" thickBot="1" x14ac:dyDescent="0.3">
      <c r="A65" s="60"/>
      <c r="B65" s="1133"/>
      <c r="C65" s="137" t="s">
        <v>86</v>
      </c>
      <c r="D65" s="354" cm="1">
        <f t="array" ref="D65">SUMPRODUCT(ISNUMBER(SEARCH('17 Cooking Costs'!$E$18:$J$18, '17 Cooking Costs'!G14)) *'17 Cooking Costs'!$E$31:$J$31)</f>
        <v>1029.5378864451159</v>
      </c>
      <c r="E65" s="811" cm="1">
        <f t="array" ref="E65">SUMPRODUCT(ISNUMBER(SEARCH('17 Cooking Costs'!$E$18:$J$18, '17 Cooking Costs'!H14)) *'17 Cooking Costs'!$E$31:$J$31)</f>
        <v>1210.895931815601</v>
      </c>
      <c r="F65" s="426"/>
      <c r="G65" s="72"/>
      <c r="H65" s="57"/>
      <c r="I65" s="57"/>
      <c r="J65" s="57"/>
      <c r="K65" s="57"/>
      <c r="L65" s="57"/>
      <c r="M65" s="57"/>
      <c r="N65" s="57"/>
      <c r="O65" s="57"/>
    </row>
    <row r="66" spans="1:15" x14ac:dyDescent="0.25">
      <c r="B66" s="151"/>
      <c r="C66" s="59"/>
      <c r="D66" s="59"/>
      <c r="E66" s="59"/>
      <c r="F66" s="59"/>
      <c r="G66" s="59"/>
      <c r="H66" s="57"/>
      <c r="I66" s="57"/>
      <c r="J66" s="57"/>
      <c r="K66" s="57"/>
      <c r="L66" s="57"/>
      <c r="M66" s="57"/>
      <c r="N66" s="57"/>
      <c r="O66" s="57"/>
    </row>
    <row r="67" spans="1:15" x14ac:dyDescent="0.25">
      <c r="C67" s="57"/>
      <c r="D67" s="57"/>
      <c r="E67" s="57"/>
      <c r="F67" s="57"/>
      <c r="G67" s="57"/>
      <c r="H67" s="57"/>
      <c r="I67" s="57"/>
      <c r="J67" s="57"/>
      <c r="K67" s="57"/>
      <c r="L67" s="57"/>
      <c r="M67" s="57"/>
      <c r="N67" s="57"/>
      <c r="O67" s="57"/>
    </row>
    <row r="68" spans="1:15" x14ac:dyDescent="0.25">
      <c r="C68" s="57"/>
      <c r="D68" s="57"/>
      <c r="E68" s="57"/>
      <c r="F68" s="57"/>
      <c r="G68" s="57"/>
      <c r="H68" s="57"/>
      <c r="I68" s="57"/>
      <c r="J68" s="57"/>
      <c r="K68" s="57"/>
      <c r="L68" s="57"/>
      <c r="M68" s="57"/>
      <c r="N68" s="57"/>
      <c r="O68" s="57"/>
    </row>
    <row r="69" spans="1:15" x14ac:dyDescent="0.25">
      <c r="C69" s="57"/>
      <c r="D69" s="57"/>
      <c r="E69" s="57"/>
      <c r="F69" s="57"/>
      <c r="G69" s="57"/>
      <c r="H69" s="57"/>
      <c r="I69" s="57"/>
      <c r="J69" s="57"/>
      <c r="K69" s="57"/>
      <c r="L69" s="57"/>
      <c r="M69" s="57"/>
      <c r="N69" s="57"/>
      <c r="O69" s="57"/>
    </row>
    <row r="70" spans="1:15" x14ac:dyDescent="0.25">
      <c r="C70" s="57"/>
      <c r="D70" s="57"/>
      <c r="E70" s="57"/>
      <c r="F70" s="57"/>
      <c r="G70" s="57"/>
      <c r="H70" s="57"/>
      <c r="I70" s="57"/>
      <c r="J70" s="57"/>
      <c r="K70" s="57"/>
      <c r="L70" s="57"/>
      <c r="M70" s="57"/>
      <c r="N70" s="57"/>
      <c r="O70" s="57"/>
    </row>
    <row r="71" spans="1:15" x14ac:dyDescent="0.25">
      <c r="C71" s="57"/>
      <c r="D71" s="57"/>
      <c r="E71" s="57"/>
      <c r="F71" s="57"/>
      <c r="G71" s="57"/>
      <c r="H71" s="57"/>
      <c r="I71" s="57"/>
      <c r="J71" s="57"/>
      <c r="K71" s="57"/>
      <c r="L71" s="57"/>
      <c r="M71" s="57"/>
      <c r="N71" s="57"/>
      <c r="O71" s="57"/>
    </row>
    <row r="72" spans="1:15" x14ac:dyDescent="0.25">
      <c r="C72" s="57"/>
      <c r="D72" s="57"/>
      <c r="E72" s="57"/>
      <c r="F72" s="57"/>
      <c r="G72" s="57"/>
      <c r="H72" s="57"/>
      <c r="I72" s="57"/>
      <c r="J72" s="57"/>
      <c r="K72" s="57"/>
      <c r="L72" s="57"/>
      <c r="M72" s="57"/>
      <c r="N72" s="57"/>
      <c r="O72" s="57"/>
    </row>
    <row r="73" spans="1:15" x14ac:dyDescent="0.25">
      <c r="C73" s="57"/>
      <c r="D73" s="57"/>
      <c r="E73" s="57"/>
      <c r="F73" s="57"/>
      <c r="G73" s="57"/>
      <c r="H73" s="57"/>
      <c r="I73" s="57"/>
      <c r="J73" s="57"/>
      <c r="K73" s="57"/>
      <c r="L73" s="57"/>
      <c r="M73" s="57"/>
      <c r="N73" s="57"/>
      <c r="O73" s="57"/>
    </row>
  </sheetData>
  <mergeCells count="88">
    <mergeCell ref="AF6:AS6"/>
    <mergeCell ref="AF7:AG8"/>
    <mergeCell ref="AH7:AS7"/>
    <mergeCell ref="AF9:AF20"/>
    <mergeCell ref="B61:C62"/>
    <mergeCell ref="D61:F61"/>
    <mergeCell ref="B60:F60"/>
    <mergeCell ref="B23:C25"/>
    <mergeCell ref="AF26:AF30"/>
    <mergeCell ref="AF23:AG25"/>
    <mergeCell ref="B9:B20"/>
    <mergeCell ref="B22:H22"/>
    <mergeCell ref="Q22:W22"/>
    <mergeCell ref="G24:G25"/>
    <mergeCell ref="H24:H25"/>
    <mergeCell ref="S24:S25"/>
    <mergeCell ref="B63:B65"/>
    <mergeCell ref="Q6:AD6"/>
    <mergeCell ref="Q7:R8"/>
    <mergeCell ref="S7:AD7"/>
    <mergeCell ref="Q9:Q20"/>
    <mergeCell ref="B26:B30"/>
    <mergeCell ref="B52:G52"/>
    <mergeCell ref="B53:C54"/>
    <mergeCell ref="D53:G53"/>
    <mergeCell ref="B55:B58"/>
    <mergeCell ref="D23:H23"/>
    <mergeCell ref="Q23:R25"/>
    <mergeCell ref="S23:W23"/>
    <mergeCell ref="D24:D25"/>
    <mergeCell ref="E24:E25"/>
    <mergeCell ref="F24:F25"/>
    <mergeCell ref="L1:L3"/>
    <mergeCell ref="C5:O5"/>
    <mergeCell ref="B6:O6"/>
    <mergeCell ref="B7:C8"/>
    <mergeCell ref="D7:O7"/>
    <mergeCell ref="T24:T25"/>
    <mergeCell ref="U24:U25"/>
    <mergeCell ref="V24:V25"/>
    <mergeCell ref="W24:W25"/>
    <mergeCell ref="Q33:R35"/>
    <mergeCell ref="S33:W33"/>
    <mergeCell ref="Q26:Q30"/>
    <mergeCell ref="B32:H32"/>
    <mergeCell ref="Q32:W32"/>
    <mergeCell ref="B36:B40"/>
    <mergeCell ref="Q36:Q40"/>
    <mergeCell ref="B42:H42"/>
    <mergeCell ref="Q42:W42"/>
    <mergeCell ref="D34:D35"/>
    <mergeCell ref="E34:E35"/>
    <mergeCell ref="F34:F35"/>
    <mergeCell ref="G34:G35"/>
    <mergeCell ref="H34:H35"/>
    <mergeCell ref="S34:S35"/>
    <mergeCell ref="T34:T35"/>
    <mergeCell ref="U34:U35"/>
    <mergeCell ref="V34:V35"/>
    <mergeCell ref="W34:W35"/>
    <mergeCell ref="B33:C35"/>
    <mergeCell ref="D33:H33"/>
    <mergeCell ref="W44:W45"/>
    <mergeCell ref="B43:C45"/>
    <mergeCell ref="D43:H43"/>
    <mergeCell ref="Q43:R45"/>
    <mergeCell ref="S43:W43"/>
    <mergeCell ref="H44:H45"/>
    <mergeCell ref="S44:S45"/>
    <mergeCell ref="T44:T45"/>
    <mergeCell ref="U44:U45"/>
    <mergeCell ref="V44:V45"/>
    <mergeCell ref="B46:B50"/>
    <mergeCell ref="Q46:Q50"/>
    <mergeCell ref="AF22:AL22"/>
    <mergeCell ref="AF32:AL32"/>
    <mergeCell ref="AF42:AL42"/>
    <mergeCell ref="AF43:AG45"/>
    <mergeCell ref="AF33:AG35"/>
    <mergeCell ref="AH23:AL23"/>
    <mergeCell ref="AH33:AL33"/>
    <mergeCell ref="AH43:AL43"/>
    <mergeCell ref="AF46:AF50"/>
    <mergeCell ref="AF36:AF40"/>
    <mergeCell ref="D44:D45"/>
    <mergeCell ref="E44:E45"/>
    <mergeCell ref="F44:F45"/>
    <mergeCell ref="G44:G4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64B11-C5D6-4782-9913-03CFD1024463}">
  <sheetPr>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40.5"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1174</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Costs'!$C$11:$AW$11)</f>
        <v>5210.3924750253409</v>
      </c>
      <c r="G10" s="140" cm="1">
        <f t="array" ref="G10">SUMPRODUCT(ISNUMBER( SEARCH('13 Space Heating Costs'!$C$7:$AW$7,'12 Space Heating Subcomponents'!I12)) *'13 Space Heating Costs'!$C$11:$AW$11)</f>
        <v>6576.372078037648</v>
      </c>
      <c r="H10" s="140" cm="1">
        <f t="array" ref="H10">SUMPRODUCT(ISNUMBER( SEARCH('13 Space Heating Costs'!$C$7:$AW$7,'12 Space Heating Subcomponents'!J12)) *'13 Space Heating Costs'!$C$11:$AW$11)</f>
        <v>8715.8183282572973</v>
      </c>
      <c r="I10" s="140" cm="1">
        <f t="array" ref="I10">SUMPRODUCT(ISNUMBER( SEARCH('13 Space Heating Costs'!$C$7:$AW$7,'12 Space Heating Subcomponents'!K12)) *'13 Space Heating Costs'!$C$11:$AW$11)</f>
        <v>4237.2666702017505</v>
      </c>
      <c r="J10" s="140" cm="1">
        <f t="array" ref="J10">SUMPRODUCT(ISNUMBER( SEARCH('13 Space Heating Costs'!$C$7:$AW$7,'12 Space Heating Subcomponents'!L12)) *'13 Space Heating Costs'!$C$11:$AW$11)</f>
        <v>7685.6406234278493</v>
      </c>
      <c r="K10" s="140" cm="1">
        <f t="array" ref="K10">SUMPRODUCT(ISNUMBER( SEARCH('13 Space Heating Costs'!$C$7:$AW$7,'12 Space Heating Subcomponents'!M12)) *'13 Space Heating Costs'!$C$11:$AW$11)</f>
        <v>4864.8375702661815</v>
      </c>
      <c r="L10" s="140" cm="1">
        <f t="array" ref="L10">SUMPRODUCT(ISNUMBER( SEARCH('13 Space Heating Costs'!$C$7:$AW$7,'12 Space Heating Subcomponents'!N12)) *'13 Space Heating Costs'!$C$11:$AW$11)</f>
        <v>8751.0848560372342</v>
      </c>
      <c r="M10" s="140" cm="1">
        <f t="array" ref="M10">SUMPRODUCT(ISNUMBER( SEARCH('13 Space Heating Costs'!$C$7:$AW$7,'12 Space Heating Subcomponents'!O12)) *'13 Space Heating Costs'!$C$11:$AW$11)</f>
        <v>4864.8375702661815</v>
      </c>
      <c r="N10" s="140" cm="1">
        <f t="array" ref="N10">SUMPRODUCT(ISNUMBER( SEARCH('13 Space Heating Costs'!$C$7:$AW$7,'12 Space Heating Subcomponents'!P12)) *'13 Space Heating Costs'!$C$11:$AW$11)</f>
        <v>4811.02917498434</v>
      </c>
      <c r="O10" s="402" cm="1">
        <f t="array" ref="O10">SUMPRODUCT(ISNUMBER( SEARCH('13 Space Heating Costs'!$C$7:$AW$7,'12 Space Heating Subcomponents'!Q12)) *'13 Space Heating Costs'!$C$11:$AW$11)</f>
        <v>10937.598923761716</v>
      </c>
      <c r="P10" s="72"/>
      <c r="Q10" s="1105"/>
      <c r="R10" s="181" t="s">
        <v>242</v>
      </c>
      <c r="S10" s="181" t="s">
        <v>243</v>
      </c>
      <c r="T10" s="139"/>
      <c r="U10" s="140" cm="1">
        <f t="array" ref="U10">SUMPRODUCT(ISNUMBER( SEARCH('13 Space Heating Costs'!$C$7:$AW$7,'12 Space Heating Subcomponents'!H28)) *'13 Space Heating Costs'!$C$11:$AW$11)</f>
        <v>5715.6715760089992</v>
      </c>
      <c r="V10" s="140" cm="1">
        <f t="array" ref="V10">SUMPRODUCT(ISNUMBER( SEARCH('13 Space Heating Costs'!$C$7:$AW$7,'12 Space Heating Subcomponents'!I28)) *'13 Space Heating Costs'!$C$11:$AW$11)</f>
        <v>7081.6511790213053</v>
      </c>
      <c r="W10" s="140" cm="1">
        <f t="array" ref="W10">SUMPRODUCT(ISNUMBER( SEARCH('13 Space Heating Costs'!$C$7:$AW$7,'12 Space Heating Subcomponents'!J28)) *'13 Space Heating Costs'!$C$11:$AW$11)</f>
        <v>9221.0974292409555</v>
      </c>
      <c r="X10" s="140" cm="1">
        <f t="array" ref="X10">SUMPRODUCT(ISNUMBER( SEARCH('13 Space Heating Costs'!$C$7:$AW$7,'12 Space Heating Subcomponents'!K28)) *'13 Space Heating Costs'!$C$11:$AW$11)</f>
        <v>4742.5457711854087</v>
      </c>
      <c r="Y10" s="140" cm="1">
        <f t="array" ref="Y10">SUMPRODUCT(ISNUMBER( SEARCH('13 Space Heating Costs'!$C$7:$AW$7,'12 Space Heating Subcomponents'!L28)) *'13 Space Heating Costs'!$C$11:$AW$11)</f>
        <v>8190.9197244115066</v>
      </c>
      <c r="Z10" s="140" cm="1">
        <f t="array" ref="Z10">SUMPRODUCT(ISNUMBER( SEARCH('13 Space Heating Costs'!$C$7:$AW$7,'12 Space Heating Subcomponents'!M28)) *'13 Space Heating Costs'!$C$11:$AW$11)</f>
        <v>5370.1166712498389</v>
      </c>
      <c r="AA10" s="140" cm="1">
        <f t="array" ref="AA10">SUMPRODUCT(ISNUMBER( SEARCH('13 Space Heating Costs'!$C$7:$AW$7,'12 Space Heating Subcomponents'!N28)) *'13 Space Heating Costs'!$C$11:$AW$11)</f>
        <v>9256.3639570208925</v>
      </c>
      <c r="AB10" s="140" cm="1">
        <f t="array" ref="AB10">SUMPRODUCT(ISNUMBER( SEARCH('13 Space Heating Costs'!$C$7:$AW$7,'12 Space Heating Subcomponents'!O28)) *'13 Space Heating Costs'!$C$11:$AW$11)</f>
        <v>5370.1166712498389</v>
      </c>
      <c r="AC10" s="140" cm="1">
        <f t="array" ref="AC10">SUMPRODUCT(ISNUMBER( SEARCH('13 Space Heating Costs'!$C$7:$AW$7,'12 Space Heating Subcomponents'!P28)) *'13 Space Heating Costs'!$C$11:$AW$11)</f>
        <v>5316.3082759679974</v>
      </c>
      <c r="AD10" s="402" cm="1">
        <f t="array" ref="AD10">SUMPRODUCT(ISNUMBER( SEARCH('13 Space Heating Costs'!$C$7:$AW$7,'12 Space Heating Subcomponents'!Q28)) *'13 Space Heating Costs'!$C$11:$AW$11)</f>
        <v>11442.878024745372</v>
      </c>
      <c r="AE10" s="72"/>
      <c r="AF10" s="1105"/>
      <c r="AG10" s="181" t="s">
        <v>242</v>
      </c>
      <c r="AH10" s="181" t="s">
        <v>243</v>
      </c>
      <c r="AI10" s="139"/>
      <c r="AJ10" s="140" cm="1">
        <f t="array" ref="AJ10">SUMPRODUCT(ISNUMBER( SEARCH('13 Space Heating Costs'!$C$7:$AW$7,'12 Space Heating Subcomponents'!H44)) *'13 Space Heating Costs'!$C$11:$AW$11)</f>
        <v>4219.0306441841149</v>
      </c>
      <c r="AK10" s="140" cm="1">
        <f t="array" ref="AK10">SUMPRODUCT(ISNUMBER( SEARCH('13 Space Heating Costs'!$C$7:$AW$7,'12 Space Heating Subcomponents'!I44)) *'13 Space Heating Costs'!$C$11:$AW$11)</f>
        <v>5585.0102471964219</v>
      </c>
      <c r="AL10" s="140" cm="1">
        <f t="array" ref="AL10">SUMPRODUCT(ISNUMBER( SEARCH('13 Space Heating Costs'!$C$7:$AW$7,'12 Space Heating Subcomponents'!J44)) *'13 Space Heating Costs'!$C$11:$AW$11)</f>
        <v>7724.4564974160712</v>
      </c>
      <c r="AM10" s="140" cm="1">
        <f t="array" ref="AM10">SUMPRODUCT(ISNUMBER( SEARCH('13 Space Heating Costs'!$C$7:$AW$7,'12 Space Heating Subcomponents'!K44)) *'13 Space Heating Costs'!$C$11:$AW$11)</f>
        <v>3245.9048393605249</v>
      </c>
      <c r="AN10" s="140" cm="1">
        <f t="array" ref="AN10">SUMPRODUCT(ISNUMBER( SEARCH('13 Space Heating Costs'!$C$7:$AW$7,'12 Space Heating Subcomponents'!L44)) *'13 Space Heating Costs'!$C$11:$AW$11)</f>
        <v>6694.2787925866232</v>
      </c>
      <c r="AO10" s="140" cm="1">
        <f t="array" ref="AO10">SUMPRODUCT(ISNUMBER( SEARCH('13 Space Heating Costs'!$C$7:$AW$7,'12 Space Heating Subcomponents'!M44)) *'13 Space Heating Costs'!$C$11:$AW$11)</f>
        <v>3873.4757394249555</v>
      </c>
      <c r="AP10" s="140" cm="1">
        <f t="array" ref="AP10">SUMPRODUCT(ISNUMBER( SEARCH('13 Space Heating Costs'!$C$7:$AW$7,'12 Space Heating Subcomponents'!N44)) *'13 Space Heating Costs'!$C$11:$AW$11)</f>
        <v>7759.7230251960091</v>
      </c>
      <c r="AQ10" s="140" cm="1">
        <f t="array" ref="AQ10">SUMPRODUCT(ISNUMBER( SEARCH('13 Space Heating Costs'!$C$7:$AW$7,'12 Space Heating Subcomponents'!O44)) *'13 Space Heating Costs'!$C$11:$AW$11)</f>
        <v>3873.4757394249555</v>
      </c>
      <c r="AR10" s="140" cm="1">
        <f t="array" ref="AR10">SUMPRODUCT(ISNUMBER( SEARCH('13 Space Heating Costs'!$C$7:$AW$7,'12 Space Heating Subcomponents'!P44)) *'13 Space Heating Costs'!$C$11:$AW$11)</f>
        <v>3819.667344143114</v>
      </c>
      <c r="AS10" s="402" cm="1">
        <f t="array" ref="AS10">SUMPRODUCT(ISNUMBER( SEARCH('13 Space Heating Costs'!$C$7:$AW$7,'12 Space Heating Subcomponents'!Q44)) *'13 Space Heating Costs'!$C$11:$AW$11)</f>
        <v>9946.2370929204899</v>
      </c>
      <c r="AT10" s="72"/>
    </row>
    <row r="11" spans="1:46" ht="200.1" customHeight="1" x14ac:dyDescent="0.25">
      <c r="A11" s="60"/>
      <c r="B11" s="1105"/>
      <c r="C11" s="182" t="s">
        <v>244</v>
      </c>
      <c r="D11" s="182" t="s">
        <v>243</v>
      </c>
      <c r="E11" s="140" cm="1">
        <f t="array" ref="E11">SUMPRODUCT(ISNUMBER( SEARCH('13 Space Heating Costs'!$C$7:$AW$7,'12 Space Heating Subcomponents'!G13)) *'13 Space Heating Costs'!$C$11:$AW$11)</f>
        <v>3600.1160122836473</v>
      </c>
      <c r="F11" s="139"/>
      <c r="G11" s="140" cm="1">
        <f t="array" ref="G11">SUMPRODUCT(ISNUMBER( SEARCH('13 Space Heating Costs'!$C$7:$AW$7,'12 Space Heating Subcomponents'!I13)) *'13 Space Heating Costs'!$C$11:$AW$11)</f>
        <v>7097.9349455148222</v>
      </c>
      <c r="H11" s="140" cm="1">
        <f t="array" ref="H11">SUMPRODUCT(ISNUMBER( SEARCH('13 Space Heating Costs'!$C$7:$AW$7,'12 Space Heating Subcomponents'!J13)) *'13 Space Heating Costs'!$C$11:$AW$11)</f>
        <v>7581.0794209896121</v>
      </c>
      <c r="I11" s="140" cm="1">
        <f t="array" ref="I11">SUMPRODUCT(ISNUMBER( SEARCH('13 Space Heating Costs'!$C$7:$AW$7,'12 Space Heating Subcomponents'!K13)) *'13 Space Heating Costs'!$C$11:$AW$11)</f>
        <v>4131.2586376144955</v>
      </c>
      <c r="J11" s="140" cm="1">
        <f t="array" ref="J11">SUMPRODUCT(ISNUMBER( SEARCH('13 Space Heating Costs'!$C$7:$AW$7,'12 Space Heating Subcomponents'!L13)) *'13 Space Heating Costs'!$C$11:$AW$11)</f>
        <v>7579.6325908405934</v>
      </c>
      <c r="K11" s="140" cm="1">
        <f t="array" ref="K11">SUMPRODUCT(ISNUMBER( SEARCH('13 Space Heating Costs'!$C$7:$AW$7,'12 Space Heating Subcomponents'!M13)) *'13 Space Heating Costs'!$C$11:$AW$11)</f>
        <v>4758.8295376789256</v>
      </c>
      <c r="L11" s="140" cm="1">
        <f t="array" ref="L11">SUMPRODUCT(ISNUMBER( SEARCH('13 Space Heating Costs'!$C$7:$AW$7,'12 Space Heating Subcomponents'!N13)) *'13 Space Heating Costs'!$C$11:$AW$11)</f>
        <v>8645.0768234499792</v>
      </c>
      <c r="M11" s="140" cm="1">
        <f t="array" ref="M11">SUMPRODUCT(ISNUMBER( SEARCH('13 Space Heating Costs'!$C$7:$AW$7,'12 Space Heating Subcomponents'!O13)) *'13 Space Heating Costs'!$C$11:$AW$11)</f>
        <v>4758.8295376789256</v>
      </c>
      <c r="N11" s="140" cm="1">
        <f t="array" ref="N11">SUMPRODUCT(ISNUMBER( SEARCH('13 Space Heating Costs'!$C$7:$AW$7,'12 Space Heating Subcomponents'!P13)) *'13 Space Heating Costs'!$C$11:$AW$11)</f>
        <v>4705.0211423970841</v>
      </c>
      <c r="O11" s="402" cm="1">
        <f t="array" ref="O11">SUMPRODUCT(ISNUMBER( SEARCH('13 Space Heating Costs'!$C$7:$AW$7,'12 Space Heating Subcomponents'!Q13)) *'13 Space Heating Costs'!$C$11:$AW$11)</f>
        <v>7326.1650379425046</v>
      </c>
      <c r="P11" s="72"/>
      <c r="Q11" s="1105"/>
      <c r="R11" s="182" t="s">
        <v>244</v>
      </c>
      <c r="S11" s="182" t="s">
        <v>243</v>
      </c>
      <c r="T11" s="140" cm="1">
        <f t="array" ref="T11">SUMPRODUCT(ISNUMBER( SEARCH('13 Space Heating Costs'!$C$7:$AW$7,'12 Space Heating Subcomponents'!G29)) *'13 Space Heating Costs'!$C$11:$AW$11)</f>
        <v>4737.5631204705587</v>
      </c>
      <c r="U11" s="139"/>
      <c r="V11" s="140" cm="1">
        <f t="array" ref="V11">SUMPRODUCT(ISNUMBER( SEARCH('13 Space Heating Costs'!$C$7:$AW$7,'12 Space Heating Subcomponents'!I29)) *'13 Space Heating Costs'!$C$11:$AW$11)</f>
        <v>8235.3820537017345</v>
      </c>
      <c r="W11" s="140" cm="1">
        <f t="array" ref="W11">SUMPRODUCT(ISNUMBER( SEARCH('13 Space Heating Costs'!$C$7:$AW$7,'12 Space Heating Subcomponents'!J29)) *'13 Space Heating Costs'!$C$11:$AW$11)</f>
        <v>8718.5265291765245</v>
      </c>
      <c r="X11" s="140" cm="1">
        <f t="array" ref="X11">SUMPRODUCT(ISNUMBER( SEARCH('13 Space Heating Costs'!$C$7:$AW$7,'12 Space Heating Subcomponents'!K29)) *'13 Space Heating Costs'!$C$11:$AW$11)</f>
        <v>5268.705745801406</v>
      </c>
      <c r="Y11" s="140" cm="1">
        <f t="array" ref="Y11">SUMPRODUCT(ISNUMBER( SEARCH('13 Space Heating Costs'!$C$7:$AW$7,'12 Space Heating Subcomponents'!L29)) *'13 Space Heating Costs'!$C$11:$AW$11)</f>
        <v>8717.0796990275048</v>
      </c>
      <c r="Z11" s="140" cm="1">
        <f t="array" ref="Z11">SUMPRODUCT(ISNUMBER( SEARCH('13 Space Heating Costs'!$C$7:$AW$7,'12 Space Heating Subcomponents'!M29)) *'13 Space Heating Costs'!$C$11:$AW$11)</f>
        <v>5896.2766458658371</v>
      </c>
      <c r="AA11" s="140" cm="1">
        <f t="array" ref="AA11">SUMPRODUCT(ISNUMBER( SEARCH('13 Space Heating Costs'!$C$7:$AW$7,'12 Space Heating Subcomponents'!N29)) *'13 Space Heating Costs'!$C$11:$AW$11)</f>
        <v>9782.5239316368898</v>
      </c>
      <c r="AB11" s="140" cm="1">
        <f t="array" ref="AB11">SUMPRODUCT(ISNUMBER( SEARCH('13 Space Heating Costs'!$C$7:$AW$7,'12 Space Heating Subcomponents'!O29)) *'13 Space Heating Costs'!$C$11:$AW$11)</f>
        <v>5896.2766458658371</v>
      </c>
      <c r="AC11" s="140" cm="1">
        <f t="array" ref="AC11">SUMPRODUCT(ISNUMBER( SEARCH('13 Space Heating Costs'!$C$7:$AW$7,'12 Space Heating Subcomponents'!P29)) *'13 Space Heating Costs'!$C$11:$AW$11)</f>
        <v>5842.4682505839955</v>
      </c>
      <c r="AD11" s="402" cm="1">
        <f t="array" ref="AD11">SUMPRODUCT(ISNUMBER( SEARCH('13 Space Heating Costs'!$C$7:$AW$7,'12 Space Heating Subcomponents'!Q29)) *'13 Space Heating Costs'!$C$11:$AW$11)</f>
        <v>8463.6121461294169</v>
      </c>
      <c r="AE11" s="72"/>
      <c r="AF11" s="1105"/>
      <c r="AG11" s="182" t="s">
        <v>244</v>
      </c>
      <c r="AH11" s="182" t="s">
        <v>243</v>
      </c>
      <c r="AI11" s="140" cm="1">
        <f t="array" ref="AI11">SUMPRODUCT(ISNUMBER( SEARCH('13 Space Heating Costs'!$C$7:$AW$7,'12 Space Heating Subcomponents'!G45)) *'13 Space Heating Costs'!$C$11:$AW$11)</f>
        <v>3240.9221886456753</v>
      </c>
      <c r="AJ11" s="139"/>
      <c r="AK11" s="140" cm="1">
        <f t="array" ref="AK11">SUMPRODUCT(ISNUMBER( SEARCH('13 Space Heating Costs'!$C$7:$AW$7,'12 Space Heating Subcomponents'!I45)) *'13 Space Heating Costs'!$C$11:$AW$11)</f>
        <v>6738.7411218768502</v>
      </c>
      <c r="AL11" s="140" cm="1">
        <f t="array" ref="AL11">SUMPRODUCT(ISNUMBER( SEARCH('13 Space Heating Costs'!$C$7:$AW$7,'12 Space Heating Subcomponents'!J45)) *'13 Space Heating Costs'!$C$11:$AW$11)</f>
        <v>7221.8855973516402</v>
      </c>
      <c r="AM11" s="140" cm="1">
        <f t="array" ref="AM11">SUMPRODUCT(ISNUMBER( SEARCH('13 Space Heating Costs'!$C$7:$AW$7,'12 Space Heating Subcomponents'!K45)) *'13 Space Heating Costs'!$C$11:$AW$11)</f>
        <v>3772.0648139765231</v>
      </c>
      <c r="AN11" s="140" cm="1">
        <f t="array" ref="AN11">SUMPRODUCT(ISNUMBER( SEARCH('13 Space Heating Costs'!$C$7:$AW$7,'12 Space Heating Subcomponents'!L45)) *'13 Space Heating Costs'!$C$11:$AW$11)</f>
        <v>7220.4387672026214</v>
      </c>
      <c r="AO11" s="140" cm="1">
        <f t="array" ref="AO11">SUMPRODUCT(ISNUMBER( SEARCH('13 Space Heating Costs'!$C$7:$AW$7,'12 Space Heating Subcomponents'!M45)) *'13 Space Heating Costs'!$C$11:$AW$11)</f>
        <v>4399.6357140409536</v>
      </c>
      <c r="AP11" s="140" cm="1">
        <f t="array" ref="AP11">SUMPRODUCT(ISNUMBER( SEARCH('13 Space Heating Costs'!$C$7:$AW$7,'12 Space Heating Subcomponents'!N45)) *'13 Space Heating Costs'!$C$11:$AW$11)</f>
        <v>8285.8829998120073</v>
      </c>
      <c r="AQ11" s="140" cm="1">
        <f t="array" ref="AQ11">SUMPRODUCT(ISNUMBER( SEARCH('13 Space Heating Costs'!$C$7:$AW$7,'12 Space Heating Subcomponents'!O45)) *'13 Space Heating Costs'!$C$11:$AW$11)</f>
        <v>4399.6357140409536</v>
      </c>
      <c r="AR11" s="140" cm="1">
        <f t="array" ref="AR11">SUMPRODUCT(ISNUMBER( SEARCH('13 Space Heating Costs'!$C$7:$AW$7,'12 Space Heating Subcomponents'!P45)) *'13 Space Heating Costs'!$C$11:$AW$11)</f>
        <v>4345.8273187591121</v>
      </c>
      <c r="AS11" s="402" cm="1">
        <f t="array" ref="AS11">SUMPRODUCT(ISNUMBER( SEARCH('13 Space Heating Costs'!$C$7:$AW$7,'12 Space Heating Subcomponents'!Q45)) *'13 Space Heating Costs'!$C$11:$AW$11)</f>
        <v>6966.9712143045326</v>
      </c>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Costs'!$C$11:$AW$11)</f>
        <v>10648.7505426183</v>
      </c>
      <c r="F12" s="140" cm="1">
        <f t="array" ref="F12">SUMPRODUCT(ISNUMBER( SEARCH('13 Space Heating Costs'!$C$7:$AW$7,'12 Space Heating Subcomponents'!H14)) *'13 Space Heating Costs'!$C$11:$AW$11)</f>
        <v>12780.58987283717</v>
      </c>
      <c r="G12" s="142"/>
      <c r="H12" s="140" cm="1">
        <f t="array" ref="H12">SUMPRODUCT(ISNUMBER( SEARCH('13 Space Heating Costs'!$C$7:$AW$7,'12 Space Heating Subcomponents'!J14)) *'13 Space Heating Costs'!$C$11:$AW$11)</f>
        <v>4461.746477825036</v>
      </c>
      <c r="I12" s="140" cm="1">
        <f t="array" ref="I12">SUMPRODUCT(ISNUMBER( SEARCH('13 Space Heating Costs'!$C$7:$AW$7,'12 Space Heating Subcomponents'!K14)) *'13 Space Heating Costs'!$C$11:$AW$11)</f>
        <v>10797.537182865788</v>
      </c>
      <c r="J12" s="140" cm="1">
        <f t="array" ref="J12">SUMPRODUCT(ISNUMBER( SEARCH('13 Space Heating Costs'!$C$7:$AW$7,'12 Space Heating Subcomponents'!L14)) *'13 Space Heating Costs'!$C$11:$AW$11)</f>
        <v>10740.485282859931</v>
      </c>
      <c r="K12" s="140" cm="1">
        <f t="array" ref="K12">SUMPRODUCT(ISNUMBER( SEARCH('13 Space Heating Costs'!$C$7:$AW$7,'12 Space Heating Subcomponents'!M14)) *'13 Space Heating Costs'!$C$11:$AW$11)</f>
        <v>12435.034968078009</v>
      </c>
      <c r="L12" s="140" cm="1">
        <f t="array" ref="L12">SUMPRODUCT(ISNUMBER( SEARCH('13 Space Heating Costs'!$C$7:$AW$7,'12 Space Heating Subcomponents'!N14)) *'13 Space Heating Costs'!$C$11:$AW$11)</f>
        <v>11805.929515469315</v>
      </c>
      <c r="M12" s="140" cm="1">
        <f t="array" ref="M12">SUMPRODUCT(ISNUMBER( SEARCH('13 Space Heating Costs'!$C$7:$AW$7,'12 Space Heating Subcomponents'!O14)) *'13 Space Heating Costs'!$C$11:$AW$11)</f>
        <v>12435.034968078009</v>
      </c>
      <c r="N12" s="140" cm="1">
        <f t="array" ref="N12">SUMPRODUCT(ISNUMBER( SEARCH('13 Space Heating Costs'!$C$7:$AW$7,'12 Space Heating Subcomponents'!P14)) *'13 Space Heating Costs'!$C$11:$AW$11)</f>
        <v>12381.226572796168</v>
      </c>
      <c r="O12" s="402" cm="1">
        <f t="array" ref="O12">SUMPRODUCT(ISNUMBER( SEARCH('13 Space Heating Costs'!$C$7:$AW$7,'12 Space Heating Subcomponents'!Q14)) *'13 Space Heating Costs'!$C$11:$AW$11)</f>
        <v>17497.869436425754</v>
      </c>
      <c r="P12" s="72"/>
      <c r="Q12" s="1105"/>
      <c r="R12" s="181" t="s">
        <v>242</v>
      </c>
      <c r="S12" s="181" t="s">
        <v>245</v>
      </c>
      <c r="T12" s="140" cm="1">
        <f t="array" ref="T12">SUMPRODUCT(ISNUMBER( SEARCH('13 Space Heating Costs'!$C$7:$AW$7,'12 Space Heating Subcomponents'!G30)) *'13 Space Heating Costs'!$C$11:$AW$11)</f>
        <v>11127.675640802263</v>
      </c>
      <c r="U12" s="140" cm="1">
        <f t="array" ref="U12">SUMPRODUCT(ISNUMBER( SEARCH('13 Space Heating Costs'!$C$7:$AW$7,'12 Space Heating Subcomponents'!H30)) *'13 Space Heating Costs'!$C$11:$AW$11)</f>
        <v>13259.514971021134</v>
      </c>
      <c r="V12" s="142"/>
      <c r="W12" s="140" cm="1">
        <f t="array" ref="W12">SUMPRODUCT(ISNUMBER( SEARCH('13 Space Heating Costs'!$C$7:$AW$7,'12 Space Heating Subcomponents'!J30)) *'13 Space Heating Costs'!$C$11:$AW$11)</f>
        <v>4940.6715760089992</v>
      </c>
      <c r="X12" s="140" cm="1">
        <f t="array" ref="X12">SUMPRODUCT(ISNUMBER( SEARCH('13 Space Heating Costs'!$C$7:$AW$7,'12 Space Heating Subcomponents'!K30)) *'13 Space Heating Costs'!$C$11:$AW$11)</f>
        <v>11276.462281049749</v>
      </c>
      <c r="Y12" s="140" cm="1">
        <f t="array" ref="Y12">SUMPRODUCT(ISNUMBER( SEARCH('13 Space Heating Costs'!$C$7:$AW$7,'12 Space Heating Subcomponents'!L30)) *'13 Space Heating Costs'!$C$11:$AW$11)</f>
        <v>11219.410381043894</v>
      </c>
      <c r="Z12" s="140" cm="1">
        <f t="array" ref="Z12">SUMPRODUCT(ISNUMBER( SEARCH('13 Space Heating Costs'!$C$7:$AW$7,'12 Space Heating Subcomponents'!M30)) *'13 Space Heating Costs'!$C$11:$AW$11)</f>
        <v>12913.96006626197</v>
      </c>
      <c r="AA12" s="140" cm="1">
        <f t="array" ref="AA12">SUMPRODUCT(ISNUMBER( SEARCH('13 Space Heating Costs'!$C$7:$AW$7,'12 Space Heating Subcomponents'!N30)) *'13 Space Heating Costs'!$C$11:$AW$11)</f>
        <v>12284.854613653279</v>
      </c>
      <c r="AB12" s="140" cm="1">
        <f t="array" ref="AB12">SUMPRODUCT(ISNUMBER( SEARCH('13 Space Heating Costs'!$C$7:$AW$7,'12 Space Heating Subcomponents'!O30)) *'13 Space Heating Costs'!$C$11:$AW$11)</f>
        <v>12913.96006626197</v>
      </c>
      <c r="AC12" s="140" cm="1">
        <f t="array" ref="AC12">SUMPRODUCT(ISNUMBER( SEARCH('13 Space Heating Costs'!$C$7:$AW$7,'12 Space Heating Subcomponents'!P30)) *'13 Space Heating Costs'!$C$11:$AW$11)</f>
        <v>12860.151670980129</v>
      </c>
      <c r="AD12" s="402" cm="1">
        <f t="array" ref="AD12">SUMPRODUCT(ISNUMBER( SEARCH('13 Space Heating Costs'!$C$7:$AW$7,'12 Space Heating Subcomponents'!Q30)) *'13 Space Heating Costs'!$C$11:$AW$11)</f>
        <v>17976.794534609715</v>
      </c>
      <c r="AE12" s="72"/>
      <c r="AF12" s="1105"/>
      <c r="AG12" s="181" t="s">
        <v>242</v>
      </c>
      <c r="AH12" s="181" t="s">
        <v>245</v>
      </c>
      <c r="AI12" s="140" cm="1">
        <f t="array" ref="AI12">SUMPRODUCT(ISNUMBER( SEARCH('13 Space Heating Costs'!$C$7:$AW$7,'12 Space Heating Subcomponents'!G46)) *'13 Space Heating Costs'!$C$11:$AW$11)</f>
        <v>9631.0347089773786</v>
      </c>
      <c r="AJ12" s="140" cm="1">
        <f t="array" ref="AJ12">SUMPRODUCT(ISNUMBER( SEARCH('13 Space Heating Costs'!$C$7:$AW$7,'12 Space Heating Subcomponents'!H46)) *'13 Space Heating Costs'!$C$11:$AW$11)</f>
        <v>11762.874039196249</v>
      </c>
      <c r="AK12" s="142"/>
      <c r="AL12" s="140" cm="1">
        <f t="array" ref="AL12">SUMPRODUCT(ISNUMBER( SEARCH('13 Space Heating Costs'!$C$7:$AW$7,'12 Space Heating Subcomponents'!J46)) *'13 Space Heating Costs'!$C$11:$AW$11)</f>
        <v>3444.0306441841153</v>
      </c>
      <c r="AM12" s="140" cm="1">
        <f t="array" ref="AM12">SUMPRODUCT(ISNUMBER( SEARCH('13 Space Heating Costs'!$C$7:$AW$7,'12 Space Heating Subcomponents'!K46)) *'13 Space Heating Costs'!$C$11:$AW$11)</f>
        <v>9779.8213492248669</v>
      </c>
      <c r="AN12" s="140" cm="1">
        <f t="array" ref="AN12">SUMPRODUCT(ISNUMBER( SEARCH('13 Space Heating Costs'!$C$7:$AW$7,'12 Space Heating Subcomponents'!L46)) *'13 Space Heating Costs'!$C$11:$AW$11)</f>
        <v>9722.7694492190094</v>
      </c>
      <c r="AO12" s="140" cm="1">
        <f t="array" ref="AO12">SUMPRODUCT(ISNUMBER( SEARCH('13 Space Heating Costs'!$C$7:$AW$7,'12 Space Heating Subcomponents'!M46)) *'13 Space Heating Costs'!$C$11:$AW$11)</f>
        <v>11417.319134437088</v>
      </c>
      <c r="AP12" s="140" cm="1">
        <f t="array" ref="AP12">SUMPRODUCT(ISNUMBER( SEARCH('13 Space Heating Costs'!$C$7:$AW$7,'12 Space Heating Subcomponents'!N46)) *'13 Space Heating Costs'!$C$11:$AW$11)</f>
        <v>10788.213681828394</v>
      </c>
      <c r="AQ12" s="140" cm="1">
        <f t="array" ref="AQ12">SUMPRODUCT(ISNUMBER( SEARCH('13 Space Heating Costs'!$C$7:$AW$7,'12 Space Heating Subcomponents'!O46)) *'13 Space Heating Costs'!$C$11:$AW$11)</f>
        <v>11417.319134437088</v>
      </c>
      <c r="AR12" s="140" cm="1">
        <f t="array" ref="AR12">SUMPRODUCT(ISNUMBER( SEARCH('13 Space Heating Costs'!$C$7:$AW$7,'12 Space Heating Subcomponents'!P46)) *'13 Space Heating Costs'!$C$11:$AW$11)</f>
        <v>11363.510739155246</v>
      </c>
      <c r="AS12" s="402" cm="1">
        <f t="array" ref="AS12">SUMPRODUCT(ISNUMBER( SEARCH('13 Space Heating Costs'!$C$7:$AW$7,'12 Space Heating Subcomponents'!Q46)) *'13 Space Heating Costs'!$C$11:$AW$11)</f>
        <v>16480.153602784834</v>
      </c>
      <c r="AT12" s="72"/>
    </row>
    <row r="13" spans="1:46" ht="200.1" customHeight="1" x14ac:dyDescent="0.25">
      <c r="A13" s="60"/>
      <c r="B13" s="1105"/>
      <c r="C13" s="182" t="s">
        <v>244</v>
      </c>
      <c r="D13" s="182" t="s">
        <v>245</v>
      </c>
      <c r="E13" s="140" cm="1">
        <f t="array" ref="E13">SUMPRODUCT(ISNUMBER( SEARCH('13 Space Heating Costs'!$C$7:$AW$7,'12 Space Heating Subcomponents'!G15)) *'13 Space Heating Costs'!$C$11:$AW$11)</f>
        <v>12078.849956415004</v>
      </c>
      <c r="F13" s="140" cm="1">
        <f t="array" ref="F13">SUMPRODUCT(ISNUMBER( SEARCH('13 Space Heating Costs'!$C$7:$AW$7,'12 Space Heating Subcomponents'!H15)) *'13 Space Heating Costs'!$C$11:$AW$11)</f>
        <v>12554.387511889014</v>
      </c>
      <c r="G13" s="140" cm="1">
        <f t="array" ref="G13">SUMPRODUCT(ISNUMBER( SEARCH('13 Space Heating Costs'!$C$7:$AW$7,'12 Space Heating Subcomponents'!I15)) *'13 Space Heating Costs'!$C$11:$AW$11)</f>
        <v>3752.3996414020894</v>
      </c>
      <c r="H13" s="139"/>
      <c r="I13" s="140" cm="1">
        <f t="array" ref="I13">SUMPRODUCT(ISNUMBER( SEARCH('13 Space Heating Costs'!$C$7:$AW$7,'12 Space Heating Subcomponents'!K15)) *'13 Space Heating Costs'!$C$11:$AW$11)</f>
        <v>11600.065696598062</v>
      </c>
      <c r="J13" s="140" cm="1">
        <f t="array" ref="J13">SUMPRODUCT(ISNUMBER( SEARCH('13 Space Heating Costs'!$C$7:$AW$7,'12 Space Heating Subcomponents'!L15)) *'13 Space Heating Costs'!$C$11:$AW$11)</f>
        <v>11543.013796592204</v>
      </c>
      <c r="K13" s="140" cm="1">
        <f t="array" ref="K13">SUMPRODUCT(ISNUMBER( SEARCH('13 Space Heating Costs'!$C$7:$AW$7,'12 Space Heating Subcomponents'!M15)) *'13 Space Heating Costs'!$C$11:$AW$11)</f>
        <v>12227.636596662491</v>
      </c>
      <c r="L13" s="140" cm="1">
        <f t="array" ref="L13">SUMPRODUCT(ISNUMBER( SEARCH('13 Space Heating Costs'!$C$7:$AW$7,'12 Space Heating Subcomponents'!N15)) *'13 Space Heating Costs'!$C$11:$AW$11)</f>
        <v>12608.458029201589</v>
      </c>
      <c r="M13" s="140" cm="1">
        <f t="array" ref="M13">SUMPRODUCT(ISNUMBER( SEARCH('13 Space Heating Costs'!$C$7:$AW$7,'12 Space Heating Subcomponents'!O15)) *'13 Space Heating Costs'!$C$11:$AW$11)</f>
        <v>12227.636596662491</v>
      </c>
      <c r="N13" s="140" cm="1">
        <f t="array" ref="N13">SUMPRODUCT(ISNUMBER( SEARCH('13 Space Heating Costs'!$C$7:$AW$7,'12 Space Heating Subcomponents'!P15)) *'13 Space Heating Costs'!$C$11:$AW$11)</f>
        <v>13183.755086528441</v>
      </c>
      <c r="O13" s="402" cm="1">
        <f t="array" ref="O13">SUMPRODUCT(ISNUMBER( SEARCH('13 Space Heating Costs'!$C$7:$AW$7,'12 Space Heating Subcomponents'!Q15)) *'13 Space Heating Costs'!$C$11:$AW$11)</f>
        <v>14794.972096926071</v>
      </c>
      <c r="P13" s="72"/>
      <c r="Q13" s="1105"/>
      <c r="R13" s="182" t="s">
        <v>244</v>
      </c>
      <c r="S13" s="182" t="s">
        <v>245</v>
      </c>
      <c r="T13" s="140" cm="1">
        <f t="array" ref="T13">SUMPRODUCT(ISNUMBER( SEARCH('13 Space Heating Costs'!$C$7:$AW$7,'12 Space Heating Subcomponents'!G31)) *'13 Space Heating Costs'!$C$11:$AW$11)</f>
        <v>12331.406515482693</v>
      </c>
      <c r="U13" s="140" cm="1">
        <f t="array" ref="U13">SUMPRODUCT(ISNUMBER( SEARCH('13 Space Heating Costs'!$C$7:$AW$7,'12 Space Heating Subcomponents'!H31)) *'13 Space Heating Costs'!$C$11:$AW$11)</f>
        <v>12806.944070956702</v>
      </c>
      <c r="V13" s="140" cm="1">
        <f t="array" ref="V13">SUMPRODUCT(ISNUMBER( SEARCH('13 Space Heating Costs'!$C$7:$AW$7,'12 Space Heating Subcomponents'!I31)) *'13 Space Heating Costs'!$C$11:$AW$11)</f>
        <v>4004.9562004697782</v>
      </c>
      <c r="W13" s="139"/>
      <c r="X13" s="140" cm="1">
        <f t="array" ref="X13">SUMPRODUCT(ISNUMBER( SEARCH('13 Space Heating Costs'!$C$7:$AW$7,'12 Space Heating Subcomponents'!K31)) *'13 Space Heating Costs'!$C$11:$AW$11)</f>
        <v>11852.622255665749</v>
      </c>
      <c r="Y13" s="140" cm="1">
        <f t="array" ref="Y13">SUMPRODUCT(ISNUMBER( SEARCH('13 Space Heating Costs'!$C$7:$AW$7,'12 Space Heating Subcomponents'!L31)) *'13 Space Heating Costs'!$C$11:$AW$11)</f>
        <v>11795.570355659893</v>
      </c>
      <c r="Z13" s="140" cm="1">
        <f t="array" ref="Z13">SUMPRODUCT(ISNUMBER( SEARCH('13 Space Heating Costs'!$C$7:$AW$7,'12 Space Heating Subcomponents'!M31)) *'13 Space Heating Costs'!$C$11:$AW$11)</f>
        <v>12480.19315573018</v>
      </c>
      <c r="AA13" s="140" cm="1">
        <f t="array" ref="AA13">SUMPRODUCT(ISNUMBER( SEARCH('13 Space Heating Costs'!$C$7:$AW$7,'12 Space Heating Subcomponents'!N31)) *'13 Space Heating Costs'!$C$11:$AW$11)</f>
        <v>12861.014588269278</v>
      </c>
      <c r="AB13" s="140" cm="1">
        <f t="array" ref="AB13">SUMPRODUCT(ISNUMBER( SEARCH('13 Space Heating Costs'!$C$7:$AW$7,'12 Space Heating Subcomponents'!O31)) *'13 Space Heating Costs'!$C$11:$AW$11)</f>
        <v>12480.19315573018</v>
      </c>
      <c r="AC13" s="140" cm="1">
        <f t="array" ref="AC13">SUMPRODUCT(ISNUMBER( SEARCH('13 Space Heating Costs'!$C$7:$AW$7,'12 Space Heating Subcomponents'!P31)) *'13 Space Heating Costs'!$C$11:$AW$11)</f>
        <v>13436.311645596128</v>
      </c>
      <c r="AD13" s="402" cm="1">
        <f t="array" ref="AD13">SUMPRODUCT(ISNUMBER( SEARCH('13 Space Heating Costs'!$C$7:$AW$7,'12 Space Heating Subcomponents'!Q31)) *'13 Space Heating Costs'!$C$11:$AW$11)</f>
        <v>15047.528655993759</v>
      </c>
      <c r="AE13" s="72"/>
      <c r="AF13" s="1105"/>
      <c r="AG13" s="182" t="s">
        <v>244</v>
      </c>
      <c r="AH13" s="182" t="s">
        <v>245</v>
      </c>
      <c r="AI13" s="140" cm="1">
        <f t="array" ref="AI13">SUMPRODUCT(ISNUMBER( SEARCH('13 Space Heating Costs'!$C$7:$AW$7,'12 Space Heating Subcomponents'!G47)) *'13 Space Heating Costs'!$C$11:$AW$11)</f>
        <v>10834.765583657809</v>
      </c>
      <c r="AJ13" s="140" cm="1">
        <f t="array" ref="AJ13">SUMPRODUCT(ISNUMBER( SEARCH('13 Space Heating Costs'!$C$7:$AW$7,'12 Space Heating Subcomponents'!H47)) *'13 Space Heating Costs'!$C$11:$AW$11)</f>
        <v>11310.303139131818</v>
      </c>
      <c r="AK13" s="140" cm="1">
        <f t="array" ref="AK13">SUMPRODUCT(ISNUMBER( SEARCH('13 Space Heating Costs'!$C$7:$AW$7,'12 Space Heating Subcomponents'!I47)) *'13 Space Heating Costs'!$C$11:$AW$11)</f>
        <v>2508.3152686448948</v>
      </c>
      <c r="AL13" s="139"/>
      <c r="AM13" s="140" cm="1">
        <f t="array" ref="AM13">SUMPRODUCT(ISNUMBER( SEARCH('13 Space Heating Costs'!$C$7:$AW$7,'12 Space Heating Subcomponents'!K47)) *'13 Space Heating Costs'!$C$11:$AW$11)</f>
        <v>10355.981323840866</v>
      </c>
      <c r="AN13" s="140" cm="1">
        <f t="array" ref="AN13">SUMPRODUCT(ISNUMBER( SEARCH('13 Space Heating Costs'!$C$7:$AW$7,'12 Space Heating Subcomponents'!L47)) *'13 Space Heating Costs'!$C$11:$AW$11)</f>
        <v>10298.929423835008</v>
      </c>
      <c r="AO13" s="140" cm="1">
        <f t="array" ref="AO13">SUMPRODUCT(ISNUMBER( SEARCH('13 Space Heating Costs'!$C$7:$AW$7,'12 Space Heating Subcomponents'!M47)) *'13 Space Heating Costs'!$C$11:$AW$11)</f>
        <v>10983.552223905295</v>
      </c>
      <c r="AP13" s="140" cm="1">
        <f t="array" ref="AP13">SUMPRODUCT(ISNUMBER( SEARCH('13 Space Heating Costs'!$C$7:$AW$7,'12 Space Heating Subcomponents'!N47)) *'13 Space Heating Costs'!$C$11:$AW$11)</f>
        <v>11364.373656444393</v>
      </c>
      <c r="AQ13" s="140" cm="1">
        <f t="array" ref="AQ13">SUMPRODUCT(ISNUMBER( SEARCH('13 Space Heating Costs'!$C$7:$AW$7,'12 Space Heating Subcomponents'!O47)) *'13 Space Heating Costs'!$C$11:$AW$11)</f>
        <v>10983.552223905295</v>
      </c>
      <c r="AR13" s="140" cm="1">
        <f t="array" ref="AR13">SUMPRODUCT(ISNUMBER( SEARCH('13 Space Heating Costs'!$C$7:$AW$7,'12 Space Heating Subcomponents'!P47)) *'13 Space Heating Costs'!$C$11:$AW$11)</f>
        <v>11939.670713771246</v>
      </c>
      <c r="AS13" s="402" cm="1">
        <f t="array" ref="AS13">SUMPRODUCT(ISNUMBER( SEARCH('13 Space Heating Costs'!$C$7:$AW$7,'12 Space Heating Subcomponents'!Q47)) *'13 Space Heating Costs'!$C$11:$AW$11)</f>
        <v>13550.887724168875</v>
      </c>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Costs'!$C$11:$AW$11)</f>
        <v>2138.6278217723921</v>
      </c>
      <c r="F14" s="140" cm="1">
        <f t="array" ref="F14">SUMPRODUCT(ISNUMBER( SEARCH('13 Space Heating Costs'!$C$7:$AW$7,'12 Space Heating Subcomponents'!H16)) *'13 Space Heating Costs'!$C$11:$AW$11)</f>
        <v>3642.8962519268302</v>
      </c>
      <c r="G14" s="140" cm="1">
        <f t="array" ref="G14">SUMPRODUCT(ISNUMBER( SEARCH('13 Space Heating Costs'!$C$7:$AW$7,'12 Space Heating Subcomponents'!I16)) *'13 Space Heating Costs'!$C$11:$AW$11)</f>
        <v>5636.446755003567</v>
      </c>
      <c r="H14" s="140" cm="1">
        <f t="array" ref="H14">SUMPRODUCT(ISNUMBER( SEARCH('13 Space Heating Costs'!$C$7:$AW$7,'12 Space Heating Subcomponents'!J16)) *'13 Space Heating Costs'!$C$11:$AW$11)</f>
        <v>7148.3221051587861</v>
      </c>
      <c r="I14" s="142"/>
      <c r="J14" s="140" cm="1">
        <f t="array" ref="J14">SUMPRODUCT(ISNUMBER( SEARCH('13 Space Heating Costs'!$C$7:$AW$7,'12 Space Heating Subcomponents'!L16)) *'13 Space Heating Costs'!$C$11:$AW$11)</f>
        <v>5408.2391549801378</v>
      </c>
      <c r="K14" s="140" cm="1">
        <f t="array" ref="K14">SUMPRODUCT(ISNUMBER( SEARCH('13 Space Heating Costs'!$C$7:$AW$7,'12 Space Heating Subcomponents'!M16)) *'13 Space Heating Costs'!$C$11:$AW$11)</f>
        <v>2587.43610181847</v>
      </c>
      <c r="L14" s="140" cm="1">
        <f t="array" ref="L14">SUMPRODUCT(ISNUMBER( SEARCH('13 Space Heating Costs'!$C$7:$AW$7,'12 Space Heating Subcomponents'!N16)) *'13 Space Heating Costs'!$C$11:$AW$11)</f>
        <v>6473.6833875895236</v>
      </c>
      <c r="M14" s="140" cm="1">
        <f t="array" ref="M14">SUMPRODUCT(ISNUMBER( SEARCH('13 Space Heating Costs'!$C$7:$AW$7,'12 Space Heating Subcomponents'!O16)) *'13 Space Heating Costs'!$C$11:$AW$11)</f>
        <v>2587.43610181847</v>
      </c>
      <c r="N14" s="140" cm="1">
        <f t="array" ref="N14">SUMPRODUCT(ISNUMBER( SEARCH('13 Space Heating Costs'!$C$7:$AW$7,'12 Space Heating Subcomponents'!P16)) *'13 Space Heating Costs'!$C$11:$AW$11)</f>
        <v>3243.5329518858289</v>
      </c>
      <c r="O14" s="402" cm="1">
        <f t="array" ref="O14">SUMPRODUCT(ISNUMBER( SEARCH('13 Space Heating Costs'!$C$7:$AW$7,'12 Space Heating Subcomponents'!Q16)) *'13 Space Heating Costs'!$C$11:$AW$11)</f>
        <v>7803.5398535833947</v>
      </c>
      <c r="P14" s="72"/>
      <c r="Q14" s="1105"/>
      <c r="R14" s="182" t="s">
        <v>246</v>
      </c>
      <c r="S14" s="182" t="s">
        <v>243</v>
      </c>
      <c r="T14" s="140" cm="1">
        <f t="array" ref="T14">SUMPRODUCT(ISNUMBER( SEARCH('13 Space Heating Costs'!$C$7:$AW$7,'12 Space Heating Subcomponents'!G32)) *'13 Space Heating Costs'!$C$11:$AW$11)</f>
        <v>2138.6278217723921</v>
      </c>
      <c r="U14" s="140" cm="1">
        <f t="array" ref="U14">SUMPRODUCT(ISNUMBER( SEARCH('13 Space Heating Costs'!$C$7:$AW$7,'12 Space Heating Subcomponents'!H32)) *'13 Space Heating Costs'!$C$11:$AW$11)</f>
        <v>3642.8962519268302</v>
      </c>
      <c r="V14" s="140" cm="1">
        <f t="array" ref="V14">SUMPRODUCT(ISNUMBER( SEARCH('13 Space Heating Costs'!$C$7:$AW$7,'12 Space Heating Subcomponents'!I32)) *'13 Space Heating Costs'!$C$11:$AW$11)</f>
        <v>5636.446755003567</v>
      </c>
      <c r="W14" s="140" cm="1">
        <f t="array" ref="W14">SUMPRODUCT(ISNUMBER( SEARCH('13 Space Heating Costs'!$C$7:$AW$7,'12 Space Heating Subcomponents'!J32)) *'13 Space Heating Costs'!$C$11:$AW$11)</f>
        <v>7148.3221051587861</v>
      </c>
      <c r="X14" s="142"/>
      <c r="Y14" s="140" cm="1">
        <f t="array" ref="Y14">SUMPRODUCT(ISNUMBER( SEARCH('13 Space Heating Costs'!$C$7:$AW$7,'12 Space Heating Subcomponents'!L32)) *'13 Space Heating Costs'!$C$11:$AW$11)</f>
        <v>5408.2391549801378</v>
      </c>
      <c r="Z14" s="140" cm="1">
        <f t="array" ref="Z14">SUMPRODUCT(ISNUMBER( SEARCH('13 Space Heating Costs'!$C$7:$AW$7,'12 Space Heating Subcomponents'!M32)) *'13 Space Heating Costs'!$C$11:$AW$11)</f>
        <v>2587.43610181847</v>
      </c>
      <c r="AA14" s="140" cm="1">
        <f t="array" ref="AA14">SUMPRODUCT(ISNUMBER( SEARCH('13 Space Heating Costs'!$C$7:$AW$7,'12 Space Heating Subcomponents'!N32)) *'13 Space Heating Costs'!$C$11:$AW$11)</f>
        <v>6473.6833875895236</v>
      </c>
      <c r="AB14" s="140" cm="1">
        <f t="array" ref="AB14">SUMPRODUCT(ISNUMBER( SEARCH('13 Space Heating Costs'!$C$7:$AW$7,'12 Space Heating Subcomponents'!O32)) *'13 Space Heating Costs'!$C$11:$AW$11)</f>
        <v>2587.43610181847</v>
      </c>
      <c r="AC14" s="140" cm="1">
        <f t="array" ref="AC14">SUMPRODUCT(ISNUMBER( SEARCH('13 Space Heating Costs'!$C$7:$AW$7,'12 Space Heating Subcomponents'!P32)) *'13 Space Heating Costs'!$C$11:$AW$11)</f>
        <v>3243.5329518858289</v>
      </c>
      <c r="AD14" s="402" cm="1">
        <f t="array" ref="AD14">SUMPRODUCT(ISNUMBER( SEARCH('13 Space Heating Costs'!$C$7:$AW$7,'12 Space Heating Subcomponents'!Q32)) *'13 Space Heating Costs'!$C$11:$AW$11)</f>
        <v>7803.5398535833947</v>
      </c>
      <c r="AE14" s="72"/>
      <c r="AF14" s="1105"/>
      <c r="AG14" s="182" t="s">
        <v>246</v>
      </c>
      <c r="AH14" s="182" t="s">
        <v>243</v>
      </c>
      <c r="AI14" s="140" cm="1">
        <f t="array" ref="AI14">SUMPRODUCT(ISNUMBER( SEARCH('13 Space Heating Costs'!$C$7:$AW$7,'12 Space Heating Subcomponents'!G48)) *'13 Space Heating Costs'!$C$11:$AW$11)</f>
        <v>2138.6278217723921</v>
      </c>
      <c r="AJ14" s="140" cm="1">
        <f t="array" ref="AJ14">SUMPRODUCT(ISNUMBER( SEARCH('13 Space Heating Costs'!$C$7:$AW$7,'12 Space Heating Subcomponents'!H48)) *'13 Space Heating Costs'!$C$11:$AW$11)</f>
        <v>3642.8962519268302</v>
      </c>
      <c r="AK14" s="140" cm="1">
        <f t="array" ref="AK14">SUMPRODUCT(ISNUMBER( SEARCH('13 Space Heating Costs'!$C$7:$AW$7,'12 Space Heating Subcomponents'!I48)) *'13 Space Heating Costs'!$C$11:$AW$11)</f>
        <v>5636.446755003567</v>
      </c>
      <c r="AL14" s="140" cm="1">
        <f t="array" ref="AL14">SUMPRODUCT(ISNUMBER( SEARCH('13 Space Heating Costs'!$C$7:$AW$7,'12 Space Heating Subcomponents'!J48)) *'13 Space Heating Costs'!$C$11:$AW$11)</f>
        <v>7148.3221051587861</v>
      </c>
      <c r="AM14" s="142"/>
      <c r="AN14" s="140" cm="1">
        <f t="array" ref="AN14">SUMPRODUCT(ISNUMBER( SEARCH('13 Space Heating Costs'!$C$7:$AW$7,'12 Space Heating Subcomponents'!L48)) *'13 Space Heating Costs'!$C$11:$AW$11)</f>
        <v>5408.2391549801378</v>
      </c>
      <c r="AO14" s="140" cm="1">
        <f t="array" ref="AO14">SUMPRODUCT(ISNUMBER( SEARCH('13 Space Heating Costs'!$C$7:$AW$7,'12 Space Heating Subcomponents'!M48)) *'13 Space Heating Costs'!$C$11:$AW$11)</f>
        <v>2587.43610181847</v>
      </c>
      <c r="AP14" s="140" cm="1">
        <f t="array" ref="AP14">SUMPRODUCT(ISNUMBER( SEARCH('13 Space Heating Costs'!$C$7:$AW$7,'12 Space Heating Subcomponents'!N48)) *'13 Space Heating Costs'!$C$11:$AW$11)</f>
        <v>6473.6833875895236</v>
      </c>
      <c r="AQ14" s="140" cm="1">
        <f t="array" ref="AQ14">SUMPRODUCT(ISNUMBER( SEARCH('13 Space Heating Costs'!$C$7:$AW$7,'12 Space Heating Subcomponents'!O48)) *'13 Space Heating Costs'!$C$11:$AW$11)</f>
        <v>2587.43610181847</v>
      </c>
      <c r="AR14" s="140" cm="1">
        <f t="array" ref="AR14">SUMPRODUCT(ISNUMBER( SEARCH('13 Space Heating Costs'!$C$7:$AW$7,'12 Space Heating Subcomponents'!P48)) *'13 Space Heating Costs'!$C$11:$AW$11)</f>
        <v>3243.5329518858289</v>
      </c>
      <c r="AS14" s="402" cm="1">
        <f t="array" ref="AS14">SUMPRODUCT(ISNUMBER( SEARCH('13 Space Heating Costs'!$C$7:$AW$7,'12 Space Heating Subcomponents'!Q48)) *'13 Space Heating Costs'!$C$11:$AW$11)</f>
        <v>7803.5398535833947</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Costs'!$C$11:$AW$11)</f>
        <v>2623.5547069201843</v>
      </c>
      <c r="F15" s="140" cm="1">
        <f t="array" ref="F15">SUMPRODUCT(ISNUMBER( SEARCH('13 Space Heating Costs'!$C$7:$AW$7,'12 Space Heating Subcomponents'!H17)) *'13 Space Heating Costs'!$C$11:$AW$11)</f>
        <v>4127.8231370746216</v>
      </c>
      <c r="G15" s="140" cm="1">
        <f t="array" ref="G15">SUMPRODUCT(ISNUMBER( SEARCH('13 Space Heating Costs'!$C$7:$AW$7,'12 Space Heating Subcomponents'!I17)) *'13 Space Heating Costs'!$C$11:$AW$11)</f>
        <v>1606.0209017716113</v>
      </c>
      <c r="H15" s="140" cm="1">
        <f t="array" ref="H15">SUMPRODUCT(ISNUMBER( SEARCH('13 Space Heating Costs'!$C$7:$AW$7,'12 Space Heating Subcomponents'!J17)) *'13 Space Heating Costs'!$C$11:$AW$11)</f>
        <v>3117.8962519268302</v>
      </c>
      <c r="I15" s="140" cm="1">
        <f t="array" ref="I15">SUMPRODUCT(ISNUMBER( SEARCH('13 Space Heating Costs'!$C$7:$AW$7,'12 Space Heating Subcomponents'!K17)) *'13 Space Heating Costs'!$C$11:$AW$11)</f>
        <v>2444.7920869018312</v>
      </c>
      <c r="J15" s="139"/>
      <c r="K15" s="140" cm="1">
        <f t="array" ref="K15">SUMPRODUCT(ISNUMBER( SEARCH('13 Space Heating Costs'!$C$7:$AW$7,'12 Space Heating Subcomponents'!M17)) *'13 Space Heating Costs'!$C$11:$AW$11)</f>
        <v>3072.3629869662618</v>
      </c>
      <c r="L15" s="140" cm="1">
        <f t="array" ref="L15">SUMPRODUCT(ISNUMBER( SEARCH('13 Space Heating Costs'!$C$7:$AW$7,'12 Space Heating Subcomponents'!N17)) *'13 Space Heating Costs'!$C$11:$AW$11)</f>
        <v>2443.2575343575672</v>
      </c>
      <c r="M15" s="140" cm="1">
        <f t="array" ref="M15">SUMPRODUCT(ISNUMBER( SEARCH('13 Space Heating Costs'!$C$7:$AW$7,'12 Space Heating Subcomponents'!O17)) *'13 Space Heating Costs'!$C$11:$AW$11)</f>
        <v>3072.3629869662618</v>
      </c>
      <c r="N15" s="140" cm="1">
        <f t="array" ref="N15">SUMPRODUCT(ISNUMBER( SEARCH('13 Space Heating Costs'!$C$7:$AW$7,'12 Space Heating Subcomponents'!P17)) *'13 Space Heating Costs'!$C$11:$AW$11)</f>
        <v>3728.4598370336207</v>
      </c>
      <c r="O15" s="402" cm="1">
        <f t="array" ref="O15">SUMPRODUCT(ISNUMBER( SEARCH('13 Space Heating Costs'!$C$7:$AW$7,'12 Space Heating Subcomponents'!Q17)) *'13 Space Heating Costs'!$C$11:$AW$11)</f>
        <v>4629.771602082049</v>
      </c>
      <c r="P15" s="72"/>
      <c r="Q15" s="1105"/>
      <c r="R15" s="182" t="s">
        <v>246</v>
      </c>
      <c r="S15" s="182" t="s">
        <v>247</v>
      </c>
      <c r="T15" s="140" cm="1">
        <f t="array" ref="T15">SUMPRODUCT(ISNUMBER( SEARCH('13 Space Heating Costs'!$C$7:$AW$7,'12 Space Heating Subcomponents'!G33)) *'13 Space Heating Costs'!$C$11:$AW$11)</f>
        <v>2623.5547069201843</v>
      </c>
      <c r="U15" s="140" cm="1">
        <f t="array" ref="U15">SUMPRODUCT(ISNUMBER( SEARCH('13 Space Heating Costs'!$C$7:$AW$7,'12 Space Heating Subcomponents'!H33)) *'13 Space Heating Costs'!$C$11:$AW$11)</f>
        <v>4127.8231370746216</v>
      </c>
      <c r="V15" s="140" cm="1">
        <f t="array" ref="V15">SUMPRODUCT(ISNUMBER( SEARCH('13 Space Heating Costs'!$C$7:$AW$7,'12 Space Heating Subcomponents'!I33)) *'13 Space Heating Costs'!$C$11:$AW$11)</f>
        <v>1606.0209017716113</v>
      </c>
      <c r="W15" s="140" cm="1">
        <f t="array" ref="W15">SUMPRODUCT(ISNUMBER( SEARCH('13 Space Heating Costs'!$C$7:$AW$7,'12 Space Heating Subcomponents'!J33)) *'13 Space Heating Costs'!$C$11:$AW$11)</f>
        <v>3117.8962519268302</v>
      </c>
      <c r="X15" s="140" cm="1">
        <f t="array" ref="X15">SUMPRODUCT(ISNUMBER( SEARCH('13 Space Heating Costs'!$C$7:$AW$7,'12 Space Heating Subcomponents'!K33)) *'13 Space Heating Costs'!$C$11:$AW$11)</f>
        <v>2444.7920869018312</v>
      </c>
      <c r="Y15" s="139"/>
      <c r="Z15" s="140" cm="1">
        <f t="array" ref="Z15">SUMPRODUCT(ISNUMBER( SEARCH('13 Space Heating Costs'!$C$7:$AW$7,'12 Space Heating Subcomponents'!M33)) *'13 Space Heating Costs'!$C$11:$AW$11)</f>
        <v>3072.3629869662618</v>
      </c>
      <c r="AA15" s="140" cm="1">
        <f t="array" ref="AA15">SUMPRODUCT(ISNUMBER( SEARCH('13 Space Heating Costs'!$C$7:$AW$7,'12 Space Heating Subcomponents'!N33)) *'13 Space Heating Costs'!$C$11:$AW$11)</f>
        <v>2443.2575343575672</v>
      </c>
      <c r="AB15" s="140" cm="1">
        <f t="array" ref="AB15">SUMPRODUCT(ISNUMBER( SEARCH('13 Space Heating Costs'!$C$7:$AW$7,'12 Space Heating Subcomponents'!O33)) *'13 Space Heating Costs'!$C$11:$AW$11)</f>
        <v>3072.3629869662618</v>
      </c>
      <c r="AC15" s="140" cm="1">
        <f t="array" ref="AC15">SUMPRODUCT(ISNUMBER( SEARCH('13 Space Heating Costs'!$C$7:$AW$7,'12 Space Heating Subcomponents'!P33)) *'13 Space Heating Costs'!$C$11:$AW$11)</f>
        <v>3728.4598370336207</v>
      </c>
      <c r="AD15" s="402" cm="1">
        <f t="array" ref="AD15">SUMPRODUCT(ISNUMBER( SEARCH('13 Space Heating Costs'!$C$7:$AW$7,'12 Space Heating Subcomponents'!Q33)) *'13 Space Heating Costs'!$C$11:$AW$11)</f>
        <v>4629.771602082049</v>
      </c>
      <c r="AE15" s="72"/>
      <c r="AF15" s="1105"/>
      <c r="AG15" s="182" t="s">
        <v>246</v>
      </c>
      <c r="AH15" s="182" t="s">
        <v>247</v>
      </c>
      <c r="AI15" s="140" cm="1">
        <f t="array" ref="AI15">SUMPRODUCT(ISNUMBER( SEARCH('13 Space Heating Costs'!$C$7:$AW$7,'12 Space Heating Subcomponents'!G49)) *'13 Space Heating Costs'!$C$11:$AW$11)</f>
        <v>2623.5547069201843</v>
      </c>
      <c r="AJ15" s="140" cm="1">
        <f t="array" ref="AJ15">SUMPRODUCT(ISNUMBER( SEARCH('13 Space Heating Costs'!$C$7:$AW$7,'12 Space Heating Subcomponents'!H49)) *'13 Space Heating Costs'!$C$11:$AW$11)</f>
        <v>4127.8231370746216</v>
      </c>
      <c r="AK15" s="140" cm="1">
        <f t="array" ref="AK15">SUMPRODUCT(ISNUMBER( SEARCH('13 Space Heating Costs'!$C$7:$AW$7,'12 Space Heating Subcomponents'!I49)) *'13 Space Heating Costs'!$C$11:$AW$11)</f>
        <v>1606.0209017716113</v>
      </c>
      <c r="AL15" s="140" cm="1">
        <f t="array" ref="AL15">SUMPRODUCT(ISNUMBER( SEARCH('13 Space Heating Costs'!$C$7:$AW$7,'12 Space Heating Subcomponents'!J49)) *'13 Space Heating Costs'!$C$11:$AW$11)</f>
        <v>3117.8962519268302</v>
      </c>
      <c r="AM15" s="140" cm="1">
        <f t="array" ref="AM15">SUMPRODUCT(ISNUMBER( SEARCH('13 Space Heating Costs'!$C$7:$AW$7,'12 Space Heating Subcomponents'!K49)) *'13 Space Heating Costs'!$C$11:$AW$11)</f>
        <v>2444.7920869018312</v>
      </c>
      <c r="AN15" s="139"/>
      <c r="AO15" s="140" cm="1">
        <f t="array" ref="AO15">SUMPRODUCT(ISNUMBER( SEARCH('13 Space Heating Costs'!$C$7:$AW$7,'12 Space Heating Subcomponents'!M49)) *'13 Space Heating Costs'!$C$11:$AW$11)</f>
        <v>3072.3629869662618</v>
      </c>
      <c r="AP15" s="140" cm="1">
        <f t="array" ref="AP15">SUMPRODUCT(ISNUMBER( SEARCH('13 Space Heating Costs'!$C$7:$AW$7,'12 Space Heating Subcomponents'!N49)) *'13 Space Heating Costs'!$C$11:$AW$11)</f>
        <v>2443.2575343575672</v>
      </c>
      <c r="AQ15" s="140" cm="1">
        <f t="array" ref="AQ15">SUMPRODUCT(ISNUMBER( SEARCH('13 Space Heating Costs'!$C$7:$AW$7,'12 Space Heating Subcomponents'!O49)) *'13 Space Heating Costs'!$C$11:$AW$11)</f>
        <v>3072.3629869662618</v>
      </c>
      <c r="AR15" s="140" cm="1">
        <f t="array" ref="AR15">SUMPRODUCT(ISNUMBER( SEARCH('13 Space Heating Costs'!$C$7:$AW$7,'12 Space Heating Subcomponents'!P49)) *'13 Space Heating Costs'!$C$11:$AW$11)</f>
        <v>3728.4598370336207</v>
      </c>
      <c r="AS15" s="402" cm="1">
        <f t="array" ref="AS15">SUMPRODUCT(ISNUMBER( SEARCH('13 Space Heating Costs'!$C$7:$AW$7,'12 Space Heating Subcomponents'!Q49)) *'13 Space Heating Costs'!$C$11:$AW$11)</f>
        <v>4629.771602082049</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Costs'!$C$11:$AW$11)</f>
        <v>1438.6278217723923</v>
      </c>
      <c r="F16" s="140" cm="1">
        <f t="array" ref="F16">SUMPRODUCT(ISNUMBER( SEARCH('13 Space Heating Costs'!$C$7:$AW$7,'12 Space Heating Subcomponents'!H18)) *'13 Space Heating Costs'!$C$11:$AW$11)</f>
        <v>2942.8962519268302</v>
      </c>
      <c r="G16" s="140" cm="1">
        <f t="array" ref="G16">SUMPRODUCT(ISNUMBER( SEARCH('13 Space Heating Costs'!$C$7:$AW$7,'12 Space Heating Subcomponents'!I18)) *'13 Space Heating Costs'!$C$11:$AW$11)</f>
        <v>4936.446755003567</v>
      </c>
      <c r="H16" s="140" cm="1">
        <f t="array" ref="H16">SUMPRODUCT(ISNUMBER( SEARCH('13 Space Heating Costs'!$C$7:$AW$7,'12 Space Heating Subcomponents'!J18)) *'13 Space Heating Costs'!$C$11:$AW$11)</f>
        <v>6448.3221051587861</v>
      </c>
      <c r="I16" s="140" cm="1">
        <f t="array" ref="I16">SUMPRODUCT(ISNUMBER( SEARCH('13 Space Heating Costs'!$C$7:$AW$7,'12 Space Heating Subcomponents'!K18)) *'13 Space Heating Costs'!$C$11:$AW$11)</f>
        <v>1259.8652017540394</v>
      </c>
      <c r="J16" s="140" cm="1">
        <f t="array" ref="J16">SUMPRODUCT(ISNUMBER( SEARCH('13 Space Heating Costs'!$C$7:$AW$7,'12 Space Heating Subcomponents'!L18)) *'13 Space Heating Costs'!$C$11:$AW$11)</f>
        <v>4708.2391549801378</v>
      </c>
      <c r="K16" s="142"/>
      <c r="L16" s="140" cm="1">
        <f t="array" ref="L16">SUMPRODUCT(ISNUMBER( SEARCH('13 Space Heating Costs'!$C$7:$AW$7,'12 Space Heating Subcomponents'!N18)) *'13 Space Heating Costs'!$C$11:$AW$11)</f>
        <v>4917.025785858913</v>
      </c>
      <c r="M16" s="140" cm="1">
        <f t="array" ref="M16">SUMPRODUCT(ISNUMBER( SEARCH('13 Space Heating Costs'!$C$7:$AW$7,'12 Space Heating Subcomponents'!O18)) *'13 Space Heating Costs'!$C$11:$AW$11)</f>
        <v>1030.7785000878598</v>
      </c>
      <c r="N16" s="140" cm="1">
        <f t="array" ref="N16">SUMPRODUCT(ISNUMBER( SEARCH('13 Space Heating Costs'!$C$7:$AW$7,'12 Space Heating Subcomponents'!P18)) *'13 Space Heating Costs'!$C$11:$AW$11)</f>
        <v>2543.5329518858289</v>
      </c>
      <c r="O16" s="402" cm="1">
        <f t="array" ref="O16">SUMPRODUCT(ISNUMBER( SEARCH('13 Space Heating Costs'!$C$7:$AW$7,'12 Space Heating Subcomponents'!Q18)) *'13 Space Heating Costs'!$C$11:$AW$11)</f>
        <v>7103.5398535833947</v>
      </c>
      <c r="P16" s="72"/>
      <c r="Q16" s="1105"/>
      <c r="R16" s="182" t="s">
        <v>246</v>
      </c>
      <c r="S16" s="182" t="s">
        <v>248</v>
      </c>
      <c r="T16" s="140" cm="1">
        <f t="array" ref="T16">SUMPRODUCT(ISNUMBER( SEARCH('13 Space Heating Costs'!$C$7:$AW$7,'12 Space Heating Subcomponents'!G34)) *'13 Space Heating Costs'!$C$11:$AW$11)</f>
        <v>1438.6278217723923</v>
      </c>
      <c r="U16" s="140" cm="1">
        <f t="array" ref="U16">SUMPRODUCT(ISNUMBER( SEARCH('13 Space Heating Costs'!$C$7:$AW$7,'12 Space Heating Subcomponents'!H34)) *'13 Space Heating Costs'!$C$11:$AW$11)</f>
        <v>2942.8962519268302</v>
      </c>
      <c r="V16" s="140" cm="1">
        <f t="array" ref="V16">SUMPRODUCT(ISNUMBER( SEARCH('13 Space Heating Costs'!$C$7:$AW$7,'12 Space Heating Subcomponents'!I34)) *'13 Space Heating Costs'!$C$11:$AW$11)</f>
        <v>4936.446755003567</v>
      </c>
      <c r="W16" s="140" cm="1">
        <f t="array" ref="W16">SUMPRODUCT(ISNUMBER( SEARCH('13 Space Heating Costs'!$C$7:$AW$7,'12 Space Heating Subcomponents'!J34)) *'13 Space Heating Costs'!$C$11:$AW$11)</f>
        <v>6448.3221051587861</v>
      </c>
      <c r="X16" s="140" cm="1">
        <f t="array" ref="X16">SUMPRODUCT(ISNUMBER( SEARCH('13 Space Heating Costs'!$C$7:$AW$7,'12 Space Heating Subcomponents'!K34)) *'13 Space Heating Costs'!$C$11:$AW$11)</f>
        <v>1259.8652017540394</v>
      </c>
      <c r="Y16" s="140" cm="1">
        <f t="array" ref="Y16">SUMPRODUCT(ISNUMBER( SEARCH('13 Space Heating Costs'!$C$7:$AW$7,'12 Space Heating Subcomponents'!L34)) *'13 Space Heating Costs'!$C$11:$AW$11)</f>
        <v>4708.2391549801378</v>
      </c>
      <c r="Z16" s="142"/>
      <c r="AA16" s="140" cm="1">
        <f t="array" ref="AA16">SUMPRODUCT(ISNUMBER( SEARCH('13 Space Heating Costs'!$C$7:$AW$7,'12 Space Heating Subcomponents'!N34)) *'13 Space Heating Costs'!$C$11:$AW$11)</f>
        <v>4917.025785858913</v>
      </c>
      <c r="AB16" s="140" cm="1">
        <f t="array" ref="AB16">SUMPRODUCT(ISNUMBER( SEARCH('13 Space Heating Costs'!$C$7:$AW$7,'12 Space Heating Subcomponents'!O34)) *'13 Space Heating Costs'!$C$11:$AW$11)</f>
        <v>1030.7785000878598</v>
      </c>
      <c r="AC16" s="140" cm="1">
        <f t="array" ref="AC16">SUMPRODUCT(ISNUMBER( SEARCH('13 Space Heating Costs'!$C$7:$AW$7,'12 Space Heating Subcomponents'!P34)) *'13 Space Heating Costs'!$C$11:$AW$11)</f>
        <v>2543.5329518858289</v>
      </c>
      <c r="AD16" s="402" cm="1">
        <f t="array" ref="AD16">SUMPRODUCT(ISNUMBER( SEARCH('13 Space Heating Costs'!$C$7:$AW$7,'12 Space Heating Subcomponents'!Q34)) *'13 Space Heating Costs'!$C$11:$AW$11)</f>
        <v>7103.5398535833947</v>
      </c>
      <c r="AE16" s="72"/>
      <c r="AF16" s="1105"/>
      <c r="AG16" s="182" t="s">
        <v>246</v>
      </c>
      <c r="AH16" s="182" t="s">
        <v>248</v>
      </c>
      <c r="AI16" s="140" cm="1">
        <f t="array" ref="AI16">SUMPRODUCT(ISNUMBER( SEARCH('13 Space Heating Costs'!$C$7:$AW$7,'12 Space Heating Subcomponents'!G50)) *'13 Space Heating Costs'!$C$11:$AW$11)</f>
        <v>1438.6278217723923</v>
      </c>
      <c r="AJ16" s="140" cm="1">
        <f t="array" ref="AJ16">SUMPRODUCT(ISNUMBER( SEARCH('13 Space Heating Costs'!$C$7:$AW$7,'12 Space Heating Subcomponents'!H50)) *'13 Space Heating Costs'!$C$11:$AW$11)</f>
        <v>2942.8962519268302</v>
      </c>
      <c r="AK16" s="140" cm="1">
        <f t="array" ref="AK16">SUMPRODUCT(ISNUMBER( SEARCH('13 Space Heating Costs'!$C$7:$AW$7,'12 Space Heating Subcomponents'!I50)) *'13 Space Heating Costs'!$C$11:$AW$11)</f>
        <v>4936.446755003567</v>
      </c>
      <c r="AL16" s="140" cm="1">
        <f t="array" ref="AL16">SUMPRODUCT(ISNUMBER( SEARCH('13 Space Heating Costs'!$C$7:$AW$7,'12 Space Heating Subcomponents'!J50)) *'13 Space Heating Costs'!$C$11:$AW$11)</f>
        <v>6448.3221051587861</v>
      </c>
      <c r="AM16" s="140" cm="1">
        <f t="array" ref="AM16">SUMPRODUCT(ISNUMBER( SEARCH('13 Space Heating Costs'!$C$7:$AW$7,'12 Space Heating Subcomponents'!K50)) *'13 Space Heating Costs'!$C$11:$AW$11)</f>
        <v>1259.8652017540394</v>
      </c>
      <c r="AN16" s="140" cm="1">
        <f t="array" ref="AN16">SUMPRODUCT(ISNUMBER( SEARCH('13 Space Heating Costs'!$C$7:$AW$7,'12 Space Heating Subcomponents'!L50)) *'13 Space Heating Costs'!$C$11:$AW$11)</f>
        <v>4708.2391549801378</v>
      </c>
      <c r="AO16" s="142"/>
      <c r="AP16" s="140" cm="1">
        <f t="array" ref="AP16">SUMPRODUCT(ISNUMBER( SEARCH('13 Space Heating Costs'!$C$7:$AW$7,'12 Space Heating Subcomponents'!N50)) *'13 Space Heating Costs'!$C$11:$AW$11)</f>
        <v>4917.025785858913</v>
      </c>
      <c r="AQ16" s="140" cm="1">
        <f t="array" ref="AQ16">SUMPRODUCT(ISNUMBER( SEARCH('13 Space Heating Costs'!$C$7:$AW$7,'12 Space Heating Subcomponents'!O50)) *'13 Space Heating Costs'!$C$11:$AW$11)</f>
        <v>1030.7785000878598</v>
      </c>
      <c r="AR16" s="140" cm="1">
        <f t="array" ref="AR16">SUMPRODUCT(ISNUMBER( SEARCH('13 Space Heating Costs'!$C$7:$AW$7,'12 Space Heating Subcomponents'!P50)) *'13 Space Heating Costs'!$C$11:$AW$11)</f>
        <v>2543.5329518858289</v>
      </c>
      <c r="AS16" s="402" cm="1">
        <f t="array" ref="AS16">SUMPRODUCT(ISNUMBER( SEARCH('13 Space Heating Costs'!$C$7:$AW$7,'12 Space Heating Subcomponents'!Q50)) *'13 Space Heating Costs'!$C$11:$AW$11)</f>
        <v>7103.5398535833947</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Costs'!$C$11:$AW$11)</f>
        <v>4549.6025680034345</v>
      </c>
      <c r="F17" s="140" cm="1">
        <f t="array" ref="F17">SUMPRODUCT(ISNUMBER( SEARCH('13 Space Heating Costs'!$C$7:$AW$7,'12 Space Heating Subcomponents'!H19)) *'13 Space Heating Costs'!$C$11:$AW$11)</f>
        <v>6053.8709981578722</v>
      </c>
      <c r="G17" s="140" cm="1">
        <f t="array" ref="G17">SUMPRODUCT(ISNUMBER( SEARCH('13 Space Heating Costs'!$C$7:$AW$7,'12 Space Heating Subcomponents'!I19)) *'13 Space Heating Costs'!$C$11:$AW$11)</f>
        <v>3532.0687628548621</v>
      </c>
      <c r="H17" s="140" cm="1">
        <f t="array" ref="H17">SUMPRODUCT(ISNUMBER( SEARCH('13 Space Heating Costs'!$C$7:$AW$7,'12 Space Heating Subcomponents'!J19)) *'13 Space Heating Costs'!$C$11:$AW$11)</f>
        <v>5043.9441130100804</v>
      </c>
      <c r="I17" s="140" cm="1">
        <f t="array" ref="I17">SUMPRODUCT(ISNUMBER( SEARCH('13 Space Heating Costs'!$C$7:$AW$7,'12 Space Heating Subcomponents'!K19)) *'13 Space Heating Costs'!$C$11:$AW$11)</f>
        <v>4370.8399479850814</v>
      </c>
      <c r="J17" s="140" cm="1">
        <f t="array" ref="J17">SUMPRODUCT(ISNUMBER( SEARCH('13 Space Heating Costs'!$C$7:$AW$7,'12 Space Heating Subcomponents'!L19)) *'13 Space Heating Costs'!$C$11:$AW$11)</f>
        <v>4313.7880479792248</v>
      </c>
      <c r="K17" s="140" cm="1">
        <f t="array" ref="K17">SUMPRODUCT(ISNUMBER( SEARCH('13 Space Heating Costs'!$C$7:$AW$7,'12 Space Heating Subcomponents'!M19)) *'13 Space Heating Costs'!$C$11:$AW$11)</f>
        <v>4141.7532463189018</v>
      </c>
      <c r="L17" s="142"/>
      <c r="M17" s="140" cm="1">
        <f t="array" ref="M17">SUMPRODUCT(ISNUMBER( SEARCH('13 Space Heating Costs'!$C$7:$AW$7,'12 Space Heating Subcomponents'!O19)) *'13 Space Heating Costs'!$C$11:$AW$11)</f>
        <v>4141.7532463189018</v>
      </c>
      <c r="N17" s="140" cm="1">
        <f t="array" ref="N17">SUMPRODUCT(ISNUMBER( SEARCH('13 Space Heating Costs'!$C$7:$AW$7,'12 Space Heating Subcomponents'!P19)) *'13 Space Heating Costs'!$C$11:$AW$11)</f>
        <v>5654.5076981168713</v>
      </c>
      <c r="O17" s="402" cm="1">
        <f t="array" ref="O17">SUMPRODUCT(ISNUMBER( SEARCH('13 Space Heating Costs'!$C$7:$AW$7,'12 Space Heating Subcomponents'!Q19)) *'13 Space Heating Costs'!$C$11:$AW$11)</f>
        <v>6555.8194631652996</v>
      </c>
      <c r="P17" s="72"/>
      <c r="Q17" s="1105"/>
      <c r="R17" s="182" t="s">
        <v>246</v>
      </c>
      <c r="S17" s="182" t="s">
        <v>249</v>
      </c>
      <c r="T17" s="140" cm="1">
        <f t="array" ref="T17">SUMPRODUCT(ISNUMBER( SEARCH('13 Space Heating Costs'!$C$7:$AW$7,'12 Space Heating Subcomponents'!G35)) *'13 Space Heating Costs'!$C$11:$AW$11)</f>
        <v>4549.6025680034345</v>
      </c>
      <c r="U17" s="140" cm="1">
        <f t="array" ref="U17">SUMPRODUCT(ISNUMBER( SEARCH('13 Space Heating Costs'!$C$7:$AW$7,'12 Space Heating Subcomponents'!H35)) *'13 Space Heating Costs'!$C$11:$AW$11)</f>
        <v>6053.8709981578722</v>
      </c>
      <c r="V17" s="140" cm="1">
        <f t="array" ref="V17">SUMPRODUCT(ISNUMBER( SEARCH('13 Space Heating Costs'!$C$7:$AW$7,'12 Space Heating Subcomponents'!I35)) *'13 Space Heating Costs'!$C$11:$AW$11)</f>
        <v>3532.0687628548621</v>
      </c>
      <c r="W17" s="140" cm="1">
        <f t="array" ref="W17">SUMPRODUCT(ISNUMBER( SEARCH('13 Space Heating Costs'!$C$7:$AW$7,'12 Space Heating Subcomponents'!J35)) *'13 Space Heating Costs'!$C$11:$AW$11)</f>
        <v>5043.9441130100804</v>
      </c>
      <c r="X17" s="140" cm="1">
        <f t="array" ref="X17">SUMPRODUCT(ISNUMBER( SEARCH('13 Space Heating Costs'!$C$7:$AW$7,'12 Space Heating Subcomponents'!K35)) *'13 Space Heating Costs'!$C$11:$AW$11)</f>
        <v>4370.8399479850814</v>
      </c>
      <c r="Y17" s="140" cm="1">
        <f t="array" ref="Y17">SUMPRODUCT(ISNUMBER( SEARCH('13 Space Heating Costs'!$C$7:$AW$7,'12 Space Heating Subcomponents'!L35)) *'13 Space Heating Costs'!$C$11:$AW$11)</f>
        <v>4313.7880479792248</v>
      </c>
      <c r="Z17" s="140" cm="1">
        <f t="array" ref="Z17">SUMPRODUCT(ISNUMBER( SEARCH('13 Space Heating Costs'!$C$7:$AW$7,'12 Space Heating Subcomponents'!M35)) *'13 Space Heating Costs'!$C$11:$AW$11)</f>
        <v>4141.7532463189018</v>
      </c>
      <c r="AA17" s="142"/>
      <c r="AB17" s="140" cm="1">
        <f t="array" ref="AB17">SUMPRODUCT(ISNUMBER( SEARCH('13 Space Heating Costs'!$C$7:$AW$7,'12 Space Heating Subcomponents'!O35)) *'13 Space Heating Costs'!$C$11:$AW$11)</f>
        <v>4141.7532463189018</v>
      </c>
      <c r="AC17" s="140" cm="1">
        <f t="array" ref="AC17">SUMPRODUCT(ISNUMBER( SEARCH('13 Space Heating Costs'!$C$7:$AW$7,'12 Space Heating Subcomponents'!P35)) *'13 Space Heating Costs'!$C$11:$AW$11)</f>
        <v>5654.5076981168713</v>
      </c>
      <c r="AD17" s="402" cm="1">
        <f t="array" ref="AD17">SUMPRODUCT(ISNUMBER( SEARCH('13 Space Heating Costs'!$C$7:$AW$7,'12 Space Heating Subcomponents'!Q35)) *'13 Space Heating Costs'!$C$11:$AW$11)</f>
        <v>6555.8194631652996</v>
      </c>
      <c r="AE17" s="72"/>
      <c r="AF17" s="1105"/>
      <c r="AG17" s="182" t="s">
        <v>246</v>
      </c>
      <c r="AH17" s="182" t="s">
        <v>249</v>
      </c>
      <c r="AI17" s="140" cm="1">
        <f t="array" ref="AI17">SUMPRODUCT(ISNUMBER( SEARCH('13 Space Heating Costs'!$C$7:$AW$7,'12 Space Heating Subcomponents'!G51)) *'13 Space Heating Costs'!$C$11:$AW$11)</f>
        <v>4549.6025680034345</v>
      </c>
      <c r="AJ17" s="140" cm="1">
        <f t="array" ref="AJ17">SUMPRODUCT(ISNUMBER( SEARCH('13 Space Heating Costs'!$C$7:$AW$7,'12 Space Heating Subcomponents'!H51)) *'13 Space Heating Costs'!$C$11:$AW$11)</f>
        <v>6053.8709981578722</v>
      </c>
      <c r="AK17" s="140" cm="1">
        <f t="array" ref="AK17">SUMPRODUCT(ISNUMBER( SEARCH('13 Space Heating Costs'!$C$7:$AW$7,'12 Space Heating Subcomponents'!I51)) *'13 Space Heating Costs'!$C$11:$AW$11)</f>
        <v>3532.0687628548621</v>
      </c>
      <c r="AL17" s="140" cm="1">
        <f t="array" ref="AL17">SUMPRODUCT(ISNUMBER( SEARCH('13 Space Heating Costs'!$C$7:$AW$7,'12 Space Heating Subcomponents'!J51)) *'13 Space Heating Costs'!$C$11:$AW$11)</f>
        <v>5043.9441130100804</v>
      </c>
      <c r="AM17" s="140" cm="1">
        <f t="array" ref="AM17">SUMPRODUCT(ISNUMBER( SEARCH('13 Space Heating Costs'!$C$7:$AW$7,'12 Space Heating Subcomponents'!K51)) *'13 Space Heating Costs'!$C$11:$AW$11)</f>
        <v>4370.8399479850814</v>
      </c>
      <c r="AN17" s="140" cm="1">
        <f t="array" ref="AN17">SUMPRODUCT(ISNUMBER( SEARCH('13 Space Heating Costs'!$C$7:$AW$7,'12 Space Heating Subcomponents'!L51)) *'13 Space Heating Costs'!$C$11:$AW$11)</f>
        <v>4313.7880479792248</v>
      </c>
      <c r="AO17" s="140" cm="1">
        <f t="array" ref="AO17">SUMPRODUCT(ISNUMBER( SEARCH('13 Space Heating Costs'!$C$7:$AW$7,'12 Space Heating Subcomponents'!M51)) *'13 Space Heating Costs'!$C$11:$AW$11)</f>
        <v>4141.7532463189018</v>
      </c>
      <c r="AP17" s="142"/>
      <c r="AQ17" s="140" cm="1">
        <f t="array" ref="AQ17">SUMPRODUCT(ISNUMBER( SEARCH('13 Space Heating Costs'!$C$7:$AW$7,'12 Space Heating Subcomponents'!O51)) *'13 Space Heating Costs'!$C$11:$AW$11)</f>
        <v>4141.7532463189018</v>
      </c>
      <c r="AR17" s="140" cm="1">
        <f t="array" ref="AR17">SUMPRODUCT(ISNUMBER( SEARCH('13 Space Heating Costs'!$C$7:$AW$7,'12 Space Heating Subcomponents'!P51)) *'13 Space Heating Costs'!$C$11:$AW$11)</f>
        <v>5654.5076981168713</v>
      </c>
      <c r="AS17" s="402" cm="1">
        <f t="array" ref="AS17">SUMPRODUCT(ISNUMBER( SEARCH('13 Space Heating Costs'!$C$7:$AW$7,'12 Space Heating Subcomponents'!Q51)) *'13 Space Heating Costs'!$C$11:$AW$11)</f>
        <v>6555.8194631652996</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Costs'!$C$11:$AW$11)</f>
        <v>18536.343777266156</v>
      </c>
      <c r="F18" s="140" cm="1">
        <f t="array" ref="F18">SUMPRODUCT(ISNUMBER( SEARCH('13 Space Heating Costs'!$C$7:$AW$7,'12 Space Heating Subcomponents'!H20)) *'13 Space Heating Costs'!$C$11:$AW$11)</f>
        <v>23546.03806065255</v>
      </c>
      <c r="G18" s="140" cm="1">
        <f t="array" ref="G18">SUMPRODUCT(ISNUMBER( SEARCH('13 Space Heating Costs'!$C$7:$AW$7,'12 Space Heating Subcomponents'!I20)) *'13 Space Heating Costs'!$C$11:$AW$11)</f>
        <v>18528.736857265376</v>
      </c>
      <c r="H18" s="140" cm="1">
        <f t="array" ref="H18">SUMPRODUCT(ISNUMBER( SEARCH('13 Space Heating Costs'!$C$7:$AW$7,'12 Space Heating Subcomponents'!J20)) *'13 Space Heating Costs'!$C$11:$AW$11)</f>
        <v>23546.03806065255</v>
      </c>
      <c r="I18" s="140" cm="1">
        <f t="array" ref="I18">SUMPRODUCT(ISNUMBER( SEARCH('13 Space Heating Costs'!$C$7:$AW$7,'12 Space Heating Subcomponents'!K20)) *'13 Space Heating Costs'!$C$11:$AW$11)</f>
        <v>18357.581157247805</v>
      </c>
      <c r="J18" s="140" cm="1">
        <f t="array" ref="J18">SUMPRODUCT(ISNUMBER( SEARCH('13 Space Heating Costs'!$C$7:$AW$7,'12 Space Heating Subcomponents'!L20)) *'13 Space Heating Costs'!$C$11:$AW$11)</f>
        <v>22515.860355823101</v>
      </c>
      <c r="K18" s="140" cm="1">
        <f t="array" ref="K18">SUMPRODUCT(ISNUMBER( SEARCH('13 Space Heating Costs'!$C$7:$AW$7,'12 Space Heating Subcomponents'!M20)) *'13 Space Heating Costs'!$C$11:$AW$11)</f>
        <v>18128.494455581626</v>
      </c>
      <c r="L18" s="140" cm="1">
        <f t="array" ref="L18">SUMPRODUCT(ISNUMBER( SEARCH('13 Space Heating Costs'!$C$7:$AW$7,'12 Space Heating Subcomponents'!N20)) *'13 Space Heating Costs'!$C$11:$AW$11)</f>
        <v>22014.741741352675</v>
      </c>
      <c r="M18" s="142"/>
      <c r="N18" s="140" cm="1">
        <f t="array" ref="N18">SUMPRODUCT(ISNUMBER( SEARCH('13 Space Heating Costs'!$C$7:$AW$7,'12 Space Heating Subcomponents'!P20)) *'13 Space Heating Costs'!$C$11:$AW$11)</f>
        <v>23146.67476061155</v>
      </c>
      <c r="O18" s="402" cm="1">
        <f t="array" ref="O18">SUMPRODUCT(ISNUMBER( SEARCH('13 Space Heating Costs'!$C$7:$AW$7,'12 Space Heating Subcomponents'!Q20)) *'13 Space Heating Costs'!$C$11:$AW$11)</f>
        <v>21405.735201194402</v>
      </c>
      <c r="P18" s="72"/>
      <c r="Q18" s="1105"/>
      <c r="R18" s="182" t="s">
        <v>246</v>
      </c>
      <c r="S18" s="182" t="s">
        <v>250</v>
      </c>
      <c r="T18" s="140" cm="1">
        <f t="array" ref="T18">SUMPRODUCT(ISNUMBER( SEARCH('13 Space Heating Costs'!$C$7:$AW$7,'12 Space Heating Subcomponents'!G36)) *'13 Space Heating Costs'!$C$11:$AW$11)</f>
        <v>18536.343777266156</v>
      </c>
      <c r="U18" s="140" cm="1">
        <f t="array" ref="U18">SUMPRODUCT(ISNUMBER( SEARCH('13 Space Heating Costs'!$C$7:$AW$7,'12 Space Heating Subcomponents'!H36)) *'13 Space Heating Costs'!$C$11:$AW$11)</f>
        <v>23546.03806065255</v>
      </c>
      <c r="V18" s="140" cm="1">
        <f t="array" ref="V18">SUMPRODUCT(ISNUMBER( SEARCH('13 Space Heating Costs'!$C$7:$AW$7,'12 Space Heating Subcomponents'!I36)) *'13 Space Heating Costs'!$C$11:$AW$11)</f>
        <v>18528.736857265376</v>
      </c>
      <c r="W18" s="140" cm="1">
        <f t="array" ref="W18">SUMPRODUCT(ISNUMBER( SEARCH('13 Space Heating Costs'!$C$7:$AW$7,'12 Space Heating Subcomponents'!J36)) *'13 Space Heating Costs'!$C$11:$AW$11)</f>
        <v>23546.03806065255</v>
      </c>
      <c r="X18" s="140" cm="1">
        <f t="array" ref="X18">SUMPRODUCT(ISNUMBER( SEARCH('13 Space Heating Costs'!$C$7:$AW$7,'12 Space Heating Subcomponents'!K36)) *'13 Space Heating Costs'!$C$11:$AW$11)</f>
        <v>18357.581157247805</v>
      </c>
      <c r="Y18" s="140" cm="1">
        <f t="array" ref="Y18">SUMPRODUCT(ISNUMBER( SEARCH('13 Space Heating Costs'!$C$7:$AW$7,'12 Space Heating Subcomponents'!L36)) *'13 Space Heating Costs'!$C$11:$AW$11)</f>
        <v>22515.860355823101</v>
      </c>
      <c r="Z18" s="140" cm="1">
        <f t="array" ref="Z18">SUMPRODUCT(ISNUMBER( SEARCH('13 Space Heating Costs'!$C$7:$AW$7,'12 Space Heating Subcomponents'!M36)) *'13 Space Heating Costs'!$C$11:$AW$11)</f>
        <v>18128.494455581626</v>
      </c>
      <c r="AA18" s="140" cm="1">
        <f t="array" ref="AA18">SUMPRODUCT(ISNUMBER( SEARCH('13 Space Heating Costs'!$C$7:$AW$7,'12 Space Heating Subcomponents'!N36)) *'13 Space Heating Costs'!$C$11:$AW$11)</f>
        <v>22014.741741352675</v>
      </c>
      <c r="AB18" s="142"/>
      <c r="AC18" s="140" cm="1">
        <f t="array" ref="AC18">SUMPRODUCT(ISNUMBER( SEARCH('13 Space Heating Costs'!$C$7:$AW$7,'12 Space Heating Subcomponents'!P36)) *'13 Space Heating Costs'!$C$11:$AW$11)</f>
        <v>23146.67476061155</v>
      </c>
      <c r="AD18" s="402" cm="1">
        <f t="array" ref="AD18">SUMPRODUCT(ISNUMBER( SEARCH('13 Space Heating Costs'!$C$7:$AW$7,'12 Space Heating Subcomponents'!Q36)) *'13 Space Heating Costs'!$C$11:$AW$11)</f>
        <v>21405.735201194402</v>
      </c>
      <c r="AE18" s="72"/>
      <c r="AF18" s="1105"/>
      <c r="AG18" s="182" t="s">
        <v>246</v>
      </c>
      <c r="AH18" s="182" t="s">
        <v>250</v>
      </c>
      <c r="AI18" s="140" cm="1">
        <f t="array" ref="AI18">SUMPRODUCT(ISNUMBER( SEARCH('13 Space Heating Costs'!$C$7:$AW$7,'12 Space Heating Subcomponents'!G52)) *'13 Space Heating Costs'!$C$11:$AW$11)</f>
        <v>18536.343777266156</v>
      </c>
      <c r="AJ18" s="140" cm="1">
        <f t="array" ref="AJ18">SUMPRODUCT(ISNUMBER( SEARCH('13 Space Heating Costs'!$C$7:$AW$7,'12 Space Heating Subcomponents'!H52)) *'13 Space Heating Costs'!$C$11:$AW$11)</f>
        <v>23546.03806065255</v>
      </c>
      <c r="AK18" s="140" cm="1">
        <f t="array" ref="AK18">SUMPRODUCT(ISNUMBER( SEARCH('13 Space Heating Costs'!$C$7:$AW$7,'12 Space Heating Subcomponents'!I52)) *'13 Space Heating Costs'!$C$11:$AW$11)</f>
        <v>18528.736857265376</v>
      </c>
      <c r="AL18" s="140" cm="1">
        <f t="array" ref="AL18">SUMPRODUCT(ISNUMBER( SEARCH('13 Space Heating Costs'!$C$7:$AW$7,'12 Space Heating Subcomponents'!J52)) *'13 Space Heating Costs'!$C$11:$AW$11)</f>
        <v>23546.03806065255</v>
      </c>
      <c r="AM18" s="140" cm="1">
        <f t="array" ref="AM18">SUMPRODUCT(ISNUMBER( SEARCH('13 Space Heating Costs'!$C$7:$AW$7,'12 Space Heating Subcomponents'!K52)) *'13 Space Heating Costs'!$C$11:$AW$11)</f>
        <v>18357.581157247805</v>
      </c>
      <c r="AN18" s="140" cm="1">
        <f t="array" ref="AN18">SUMPRODUCT(ISNUMBER( SEARCH('13 Space Heating Costs'!$C$7:$AW$7,'12 Space Heating Subcomponents'!L52)) *'13 Space Heating Costs'!$C$11:$AW$11)</f>
        <v>22515.860355823101</v>
      </c>
      <c r="AO18" s="140" cm="1">
        <f t="array" ref="AO18">SUMPRODUCT(ISNUMBER( SEARCH('13 Space Heating Costs'!$C$7:$AW$7,'12 Space Heating Subcomponents'!M52)) *'13 Space Heating Costs'!$C$11:$AW$11)</f>
        <v>18128.494455581626</v>
      </c>
      <c r="AP18" s="140" cm="1">
        <f t="array" ref="AP18">SUMPRODUCT(ISNUMBER( SEARCH('13 Space Heating Costs'!$C$7:$AW$7,'12 Space Heating Subcomponents'!N52)) *'13 Space Heating Costs'!$C$11:$AW$11)</f>
        <v>22014.741741352675</v>
      </c>
      <c r="AQ18" s="142"/>
      <c r="AR18" s="140" cm="1">
        <f t="array" ref="AR18">SUMPRODUCT(ISNUMBER( SEARCH('13 Space Heating Costs'!$C$7:$AW$7,'12 Space Heating Subcomponents'!P52)) *'13 Space Heating Costs'!$C$11:$AW$11)</f>
        <v>23146.67476061155</v>
      </c>
      <c r="AS18" s="402" cm="1">
        <f t="array" ref="AS18">SUMPRODUCT(ISNUMBER( SEARCH('13 Space Heating Costs'!$C$7:$AW$7,'12 Space Heating Subcomponents'!Q52)) *'13 Space Heating Costs'!$C$11:$AW$11)</f>
        <v>21405.735201194402</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Costs'!$C$11:$AW$11)</f>
        <v>3282.2840194869013</v>
      </c>
      <c r="F19" s="140" cm="1">
        <f t="array" ref="F19">SUMPRODUCT(ISNUMBER( SEARCH('13 Space Heating Costs'!$C$7:$AW$7,'12 Space Heating Subcomponents'!H21)) *'13 Space Heating Costs'!$C$11:$AW$11)</f>
        <v>4786.5524496413391</v>
      </c>
      <c r="G19" s="140" cm="1">
        <f t="array" ref="G19">SUMPRODUCT(ISNUMBER( SEARCH('13 Space Heating Costs'!$C$7:$AW$7,'12 Space Heating Subcomponents'!I21)) *'13 Space Heating Costs'!$C$11:$AW$11)</f>
        <v>6780.1029527180763</v>
      </c>
      <c r="H19" s="140" cm="1">
        <f t="array" ref="H19">SUMPRODUCT(ISNUMBER( SEARCH('13 Space Heating Costs'!$C$7:$AW$7,'12 Space Heating Subcomponents'!J21)) *'13 Space Heating Costs'!$C$11:$AW$11)</f>
        <v>8291.9783028732945</v>
      </c>
      <c r="I19" s="140" cm="1">
        <f t="array" ref="I19">SUMPRODUCT(ISNUMBER( SEARCH('13 Space Heating Costs'!$C$7:$AW$7,'12 Space Heating Subcomponents'!K21)) *'13 Space Heating Costs'!$C$11:$AW$11)</f>
        <v>3813.4266448177486</v>
      </c>
      <c r="J19" s="140" cm="1">
        <f t="array" ref="J19">SUMPRODUCT(ISNUMBER( SEARCH('13 Space Heating Costs'!$C$7:$AW$7,'12 Space Heating Subcomponents'!L21)) *'13 Space Heating Costs'!$C$11:$AW$11)</f>
        <v>7261.8005980438475</v>
      </c>
      <c r="K19" s="140" cm="1">
        <f t="array" ref="K19">SUMPRODUCT(ISNUMBER( SEARCH('13 Space Heating Costs'!$C$7:$AW$7,'12 Space Heating Subcomponents'!M21)) *'13 Space Heating Costs'!$C$11:$AW$11)</f>
        <v>4440.9975448821797</v>
      </c>
      <c r="L19" s="140" cm="1">
        <f t="array" ref="L19">SUMPRODUCT(ISNUMBER( SEARCH('13 Space Heating Costs'!$C$7:$AW$7,'12 Space Heating Subcomponents'!N21)) *'13 Space Heating Costs'!$C$11:$AW$11)</f>
        <v>8327.2448306532333</v>
      </c>
      <c r="M19" s="140" cm="1">
        <f t="array" ref="M19">SUMPRODUCT(ISNUMBER( SEARCH('13 Space Heating Costs'!$C$7:$AW$7,'12 Space Heating Subcomponents'!O21)) *'13 Space Heating Costs'!$C$11:$AW$11)</f>
        <v>4440.9975448821797</v>
      </c>
      <c r="N19" s="142"/>
      <c r="O19" s="402" cm="1">
        <f t="array" ref="O19">SUMPRODUCT(ISNUMBER( SEARCH('13 Space Heating Costs'!$C$7:$AW$7,'12 Space Heating Subcomponents'!Q21)) *'13 Space Heating Costs'!$C$11:$AW$11)</f>
        <v>10513.758898377715</v>
      </c>
      <c r="P19" s="72"/>
      <c r="Q19" s="1105"/>
      <c r="R19" s="182" t="s">
        <v>86</v>
      </c>
      <c r="S19" s="182" t="s">
        <v>243</v>
      </c>
      <c r="T19" s="140" cm="1">
        <f t="array" ref="T19">SUMPRODUCT(ISNUMBER( SEARCH('13 Space Heating Costs'!$C$7:$AW$7,'12 Space Heating Subcomponents'!G37)) *'13 Space Heating Costs'!$C$11:$AW$11)</f>
        <v>3787.5631204705587</v>
      </c>
      <c r="U19" s="140" cm="1">
        <f t="array" ref="U19">SUMPRODUCT(ISNUMBER( SEARCH('13 Space Heating Costs'!$C$7:$AW$7,'12 Space Heating Subcomponents'!H37)) *'13 Space Heating Costs'!$C$11:$AW$11)</f>
        <v>5291.8315506249965</v>
      </c>
      <c r="V19" s="140" cm="1">
        <f t="array" ref="V19">SUMPRODUCT(ISNUMBER( SEARCH('13 Space Heating Costs'!$C$7:$AW$7,'12 Space Heating Subcomponents'!I37)) *'13 Space Heating Costs'!$C$11:$AW$11)</f>
        <v>7285.3820537017336</v>
      </c>
      <c r="W19" s="140" cm="1">
        <f t="array" ref="W19">SUMPRODUCT(ISNUMBER( SEARCH('13 Space Heating Costs'!$C$7:$AW$7,'12 Space Heating Subcomponents'!J37)) *'13 Space Heating Costs'!$C$11:$AW$11)</f>
        <v>8797.2574038569528</v>
      </c>
      <c r="X19" s="140" cm="1">
        <f t="array" ref="X19">SUMPRODUCT(ISNUMBER( SEARCH('13 Space Heating Costs'!$C$7:$AW$7,'12 Space Heating Subcomponents'!K37)) *'13 Space Heating Costs'!$C$11:$AW$11)</f>
        <v>4318.705745801406</v>
      </c>
      <c r="Y19" s="140" cm="1">
        <f t="array" ref="Y19">SUMPRODUCT(ISNUMBER( SEARCH('13 Space Heating Costs'!$C$7:$AW$7,'12 Space Heating Subcomponents'!L37)) *'13 Space Heating Costs'!$C$11:$AW$11)</f>
        <v>7767.0796990275048</v>
      </c>
      <c r="Z19" s="140" cm="1">
        <f t="array" ref="Z19">SUMPRODUCT(ISNUMBER( SEARCH('13 Space Heating Costs'!$C$7:$AW$7,'12 Space Heating Subcomponents'!M37)) *'13 Space Heating Costs'!$C$11:$AW$11)</f>
        <v>4946.2766458658371</v>
      </c>
      <c r="AA19" s="140" cm="1">
        <f t="array" ref="AA19">SUMPRODUCT(ISNUMBER( SEARCH('13 Space Heating Costs'!$C$7:$AW$7,'12 Space Heating Subcomponents'!N37)) *'13 Space Heating Costs'!$C$11:$AW$11)</f>
        <v>8832.5239316368898</v>
      </c>
      <c r="AB19" s="140" cm="1">
        <f t="array" ref="AB19">SUMPRODUCT(ISNUMBER( SEARCH('13 Space Heating Costs'!$C$7:$AW$7,'12 Space Heating Subcomponents'!O37)) *'13 Space Heating Costs'!$C$11:$AW$11)</f>
        <v>4946.2766458658371</v>
      </c>
      <c r="AC19" s="142"/>
      <c r="AD19" s="402" cm="1">
        <f t="array" ref="AD19">SUMPRODUCT(ISNUMBER( SEARCH('13 Space Heating Costs'!$C$7:$AW$7,'12 Space Heating Subcomponents'!Q37)) *'13 Space Heating Costs'!$C$11:$AW$11)</f>
        <v>11019.037999361371</v>
      </c>
      <c r="AE19" s="72"/>
      <c r="AF19" s="1105"/>
      <c r="AG19" s="182" t="s">
        <v>86</v>
      </c>
      <c r="AH19" s="182" t="s">
        <v>243</v>
      </c>
      <c r="AI19" s="140" cm="1">
        <f t="array" ref="AI19">SUMPRODUCT(ISNUMBER( SEARCH('13 Space Heating Costs'!$C$7:$AW$7,'12 Space Heating Subcomponents'!G53)) *'13 Space Heating Costs'!$C$11:$AW$11)</f>
        <v>2290.9221886456753</v>
      </c>
      <c r="AJ19" s="140" cm="1">
        <f t="array" ref="AJ19">SUMPRODUCT(ISNUMBER( SEARCH('13 Space Heating Costs'!$C$7:$AW$7,'12 Space Heating Subcomponents'!H53)) *'13 Space Heating Costs'!$C$11:$AW$11)</f>
        <v>3795.1906188001135</v>
      </c>
      <c r="AK19" s="140" cm="1">
        <f t="array" ref="AK19">SUMPRODUCT(ISNUMBER( SEARCH('13 Space Heating Costs'!$C$7:$AW$7,'12 Space Heating Subcomponents'!I53)) *'13 Space Heating Costs'!$C$11:$AW$11)</f>
        <v>5788.7411218768502</v>
      </c>
      <c r="AL19" s="140" cm="1">
        <f t="array" ref="AL19">SUMPRODUCT(ISNUMBER( SEARCH('13 Space Heating Costs'!$C$7:$AW$7,'12 Space Heating Subcomponents'!J53)) *'13 Space Heating Costs'!$C$11:$AW$11)</f>
        <v>7300.6164720320694</v>
      </c>
      <c r="AM19" s="140" cm="1">
        <f t="array" ref="AM19">SUMPRODUCT(ISNUMBER( SEARCH('13 Space Heating Costs'!$C$7:$AW$7,'12 Space Heating Subcomponents'!K53)) *'13 Space Heating Costs'!$C$11:$AW$11)</f>
        <v>2822.0648139765231</v>
      </c>
      <c r="AN19" s="140" cm="1">
        <f t="array" ref="AN19">SUMPRODUCT(ISNUMBER( SEARCH('13 Space Heating Costs'!$C$7:$AW$7,'12 Space Heating Subcomponents'!L53)) *'13 Space Heating Costs'!$C$11:$AW$11)</f>
        <v>6270.4387672026214</v>
      </c>
      <c r="AO19" s="140" cm="1">
        <f t="array" ref="AO19">SUMPRODUCT(ISNUMBER( SEARCH('13 Space Heating Costs'!$C$7:$AW$7,'12 Space Heating Subcomponents'!M53)) *'13 Space Heating Costs'!$C$11:$AW$11)</f>
        <v>3449.6357140409536</v>
      </c>
      <c r="AP19" s="140" cm="1">
        <f t="array" ref="AP19">SUMPRODUCT(ISNUMBER( SEARCH('13 Space Heating Costs'!$C$7:$AW$7,'12 Space Heating Subcomponents'!N53)) *'13 Space Heating Costs'!$C$11:$AW$11)</f>
        <v>7335.8829998120073</v>
      </c>
      <c r="AQ19" s="140" cm="1">
        <f t="array" ref="AQ19">SUMPRODUCT(ISNUMBER( SEARCH('13 Space Heating Costs'!$C$7:$AW$7,'12 Space Heating Subcomponents'!O53)) *'13 Space Heating Costs'!$C$11:$AW$11)</f>
        <v>3449.6357140409536</v>
      </c>
      <c r="AR19" s="142"/>
      <c r="AS19" s="402" cm="1">
        <f t="array" ref="AS19">SUMPRODUCT(ISNUMBER( SEARCH('13 Space Heating Costs'!$C$7:$AW$7,'12 Space Heating Subcomponents'!Q53)) *'13 Space Heating Costs'!$C$11:$AW$11)</f>
        <v>9522.397067536489</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Costs'!$C$11:$AW$11)</f>
        <v>3982.6741556661345</v>
      </c>
      <c r="F20" s="403" cm="1">
        <f t="array" ref="F20">SUMPRODUCT(ISNUMBER( SEARCH('13 Space Heating Costs'!$C$7:$AW$7,'12 Space Heating Subcomponents'!H22)) *'13 Space Heating Costs'!$C$11:$AW$11)</f>
        <v>5486.9425858205723</v>
      </c>
      <c r="G20" s="403" cm="1">
        <f t="array" ref="G20">SUMPRODUCT(ISNUMBER( SEARCH('13 Space Heating Costs'!$C$7:$AW$7,'12 Space Heating Subcomponents'!I22)) *'13 Space Heating Costs'!$C$11:$AW$11)</f>
        <v>3975.0672356653531</v>
      </c>
      <c r="H20" s="403" cm="1">
        <f t="array" ref="H20">SUMPRODUCT(ISNUMBER( SEARCH('13 Space Heating Costs'!$C$7:$AW$7,'12 Space Heating Subcomponents'!J22)) *'13 Space Heating Costs'!$C$11:$AW$11)</f>
        <v>5486.9425858205723</v>
      </c>
      <c r="I20" s="403" cm="1">
        <f t="array" ref="I20">SUMPRODUCT(ISNUMBER( SEARCH('13 Space Heating Costs'!$C$7:$AW$7,'12 Space Heating Subcomponents'!K22)) *'13 Space Heating Costs'!$C$11:$AW$11)</f>
        <v>3803.9115356477814</v>
      </c>
      <c r="J20" s="403" cm="1">
        <f t="array" ref="J20">SUMPRODUCT(ISNUMBER( SEARCH('13 Space Heating Costs'!$C$7:$AW$7,'12 Space Heating Subcomponents'!L22)) *'13 Space Heating Costs'!$C$11:$AW$11)</f>
        <v>3746.8596356419239</v>
      </c>
      <c r="K20" s="403" cm="1">
        <f t="array" ref="K20">SUMPRODUCT(ISNUMBER( SEARCH('13 Space Heating Costs'!$C$7:$AW$7,'12 Space Heating Subcomponents'!M22)) *'13 Space Heating Costs'!$C$11:$AW$11)</f>
        <v>4431.4824357122116</v>
      </c>
      <c r="L20" s="403" cm="1">
        <f t="array" ref="L20">SUMPRODUCT(ISNUMBER( SEARCH('13 Space Heating Costs'!$C$7:$AW$7,'12 Space Heating Subcomponents'!N22)) *'13 Space Heating Costs'!$C$11:$AW$11)</f>
        <v>4812.3038682513097</v>
      </c>
      <c r="M20" s="403" cm="1">
        <f t="array" ref="M20">SUMPRODUCT(ISNUMBER( SEARCH('13 Space Heating Costs'!$C$7:$AW$7,'12 Space Heating Subcomponents'!O22)) *'13 Space Heating Costs'!$C$11:$AW$11)</f>
        <v>4431.4824357122116</v>
      </c>
      <c r="N20" s="403" cm="1">
        <f t="array" ref="N20">SUMPRODUCT(ISNUMBER( SEARCH('13 Space Heating Costs'!$C$7:$AW$7,'12 Space Heating Subcomponents'!P22)) *'13 Space Heating Costs'!$C$11:$AW$11)</f>
        <v>5087.5792857795714</v>
      </c>
      <c r="O20" s="426"/>
      <c r="P20" s="58"/>
      <c r="Q20" s="1106"/>
      <c r="R20" s="366" t="s">
        <v>252</v>
      </c>
      <c r="S20" s="366" t="s">
        <v>253</v>
      </c>
      <c r="T20" s="403" cm="1">
        <f t="array" ref="T20">SUMPRODUCT(ISNUMBER( SEARCH('13 Space Heating Costs'!$C$7:$AW$7,'12 Space Heating Subcomponents'!G38)) *'13 Space Heating Costs'!$C$11:$AW$11)</f>
        <v>3982.6741556661345</v>
      </c>
      <c r="U20" s="403" cm="1">
        <f t="array" ref="U20">SUMPRODUCT(ISNUMBER( SEARCH('13 Space Heating Costs'!$C$7:$AW$7,'12 Space Heating Subcomponents'!H38)) *'13 Space Heating Costs'!$C$11:$AW$11)</f>
        <v>5486.9425858205723</v>
      </c>
      <c r="V20" s="403" cm="1">
        <f t="array" ref="V20">SUMPRODUCT(ISNUMBER( SEARCH('13 Space Heating Costs'!$C$7:$AW$7,'12 Space Heating Subcomponents'!I38)) *'13 Space Heating Costs'!$C$11:$AW$11)</f>
        <v>3975.0672356653531</v>
      </c>
      <c r="W20" s="403" cm="1">
        <f t="array" ref="W20">SUMPRODUCT(ISNUMBER( SEARCH('13 Space Heating Costs'!$C$7:$AW$7,'12 Space Heating Subcomponents'!J38)) *'13 Space Heating Costs'!$C$11:$AW$11)</f>
        <v>5486.9425858205723</v>
      </c>
      <c r="X20" s="403" cm="1">
        <f t="array" ref="X20">SUMPRODUCT(ISNUMBER( SEARCH('13 Space Heating Costs'!$C$7:$AW$7,'12 Space Heating Subcomponents'!K38)) *'13 Space Heating Costs'!$C$11:$AW$11)</f>
        <v>3803.9115356477814</v>
      </c>
      <c r="Y20" s="403" cm="1">
        <f t="array" ref="Y20">SUMPRODUCT(ISNUMBER( SEARCH('13 Space Heating Costs'!$C$7:$AW$7,'12 Space Heating Subcomponents'!L38)) *'13 Space Heating Costs'!$C$11:$AW$11)</f>
        <v>3746.8596356419239</v>
      </c>
      <c r="Z20" s="403" cm="1">
        <f t="array" ref="Z20">SUMPRODUCT(ISNUMBER( SEARCH('13 Space Heating Costs'!$C$7:$AW$7,'12 Space Heating Subcomponents'!M38)) *'13 Space Heating Costs'!$C$11:$AW$11)</f>
        <v>4431.4824357122116</v>
      </c>
      <c r="AA20" s="403" cm="1">
        <f t="array" ref="AA20">SUMPRODUCT(ISNUMBER( SEARCH('13 Space Heating Costs'!$C$7:$AW$7,'12 Space Heating Subcomponents'!N38)) *'13 Space Heating Costs'!$C$11:$AW$11)</f>
        <v>4812.3038682513097</v>
      </c>
      <c r="AB20" s="403" cm="1">
        <f t="array" ref="AB20">SUMPRODUCT(ISNUMBER( SEARCH('13 Space Heating Costs'!$C$7:$AW$7,'12 Space Heating Subcomponents'!O38)) *'13 Space Heating Costs'!$C$11:$AW$11)</f>
        <v>4431.4824357122116</v>
      </c>
      <c r="AC20" s="403" cm="1">
        <f t="array" ref="AC20">SUMPRODUCT(ISNUMBER( SEARCH('13 Space Heating Costs'!$C$7:$AW$7,'12 Space Heating Subcomponents'!P38)) *'13 Space Heating Costs'!$C$11:$AW$11)</f>
        <v>5087.5792857795714</v>
      </c>
      <c r="AD20" s="426"/>
      <c r="AE20" s="58"/>
      <c r="AF20" s="1106"/>
      <c r="AG20" s="366" t="s">
        <v>252</v>
      </c>
      <c r="AH20" s="366" t="s">
        <v>253</v>
      </c>
      <c r="AI20" s="403" cm="1">
        <f t="array" ref="AI20">SUMPRODUCT(ISNUMBER( SEARCH('13 Space Heating Costs'!$C$7:$AW$7,'12 Space Heating Subcomponents'!G54)) *'13 Space Heating Costs'!$C$11:$AW$11)</f>
        <v>3982.6741556661345</v>
      </c>
      <c r="AJ20" s="403" cm="1">
        <f t="array" ref="AJ20">SUMPRODUCT(ISNUMBER( SEARCH('13 Space Heating Costs'!$C$7:$AW$7,'12 Space Heating Subcomponents'!H54)) *'13 Space Heating Costs'!$C$11:$AW$11)</f>
        <v>5486.9425858205723</v>
      </c>
      <c r="AK20" s="403" cm="1">
        <f t="array" ref="AK20">SUMPRODUCT(ISNUMBER( SEARCH('13 Space Heating Costs'!$C$7:$AW$7,'12 Space Heating Subcomponents'!I54)) *'13 Space Heating Costs'!$C$11:$AW$11)</f>
        <v>3975.0672356653531</v>
      </c>
      <c r="AL20" s="403" cm="1">
        <f t="array" ref="AL20">SUMPRODUCT(ISNUMBER( SEARCH('13 Space Heating Costs'!$C$7:$AW$7,'12 Space Heating Subcomponents'!J54)) *'13 Space Heating Costs'!$C$11:$AW$11)</f>
        <v>5486.9425858205723</v>
      </c>
      <c r="AM20" s="403" cm="1">
        <f t="array" ref="AM20">SUMPRODUCT(ISNUMBER( SEARCH('13 Space Heating Costs'!$C$7:$AW$7,'12 Space Heating Subcomponents'!K54)) *'13 Space Heating Costs'!$C$11:$AW$11)</f>
        <v>3803.9115356477814</v>
      </c>
      <c r="AN20" s="403" cm="1">
        <f t="array" ref="AN20">SUMPRODUCT(ISNUMBER( SEARCH('13 Space Heating Costs'!$C$7:$AW$7,'12 Space Heating Subcomponents'!L54)) *'13 Space Heating Costs'!$C$11:$AW$11)</f>
        <v>3746.8596356419239</v>
      </c>
      <c r="AO20" s="403" cm="1">
        <f t="array" ref="AO20">SUMPRODUCT(ISNUMBER( SEARCH('13 Space Heating Costs'!$C$7:$AW$7,'12 Space Heating Subcomponents'!M54)) *'13 Space Heating Costs'!$C$11:$AW$11)</f>
        <v>4431.4824357122116</v>
      </c>
      <c r="AP20" s="403" cm="1">
        <f t="array" ref="AP20">SUMPRODUCT(ISNUMBER( SEARCH('13 Space Heating Costs'!$C$7:$AW$7,'12 Space Heating Subcomponents'!N54)) *'13 Space Heating Costs'!$C$11:$AW$11)</f>
        <v>4812.3038682513097</v>
      </c>
      <c r="AQ20" s="403" cm="1">
        <f t="array" ref="AQ20">SUMPRODUCT(ISNUMBER( SEARCH('13 Space Heating Costs'!$C$7:$AW$7,'12 Space Heating Subcomponents'!O54)) *'13 Space Heating Costs'!$C$11:$AW$11)</f>
        <v>4431.4824357122116</v>
      </c>
      <c r="AR20" s="403" cm="1">
        <f t="array" ref="AR20">SUMPRODUCT(ISNUMBER( SEARCH('13 Space Heating Costs'!$C$7:$AW$7,'12 Space Heating Subcomponents'!P54)) *'13 Space Heating Costs'!$C$11:$AW$11)</f>
        <v>5087.5792857795714</v>
      </c>
      <c r="AS20" s="426"/>
      <c r="AT20" s="58"/>
    </row>
    <row r="21" spans="1:46" s="61" customFormat="1" ht="80.099999999999994"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A22" s="673"/>
      <c r="B22" s="1107" t="s">
        <v>1070</v>
      </c>
      <c r="C22" s="1108"/>
      <c r="D22" s="1108"/>
      <c r="E22" s="1108"/>
      <c r="F22" s="1108"/>
      <c r="G22" s="1108"/>
      <c r="H22" s="1109"/>
      <c r="I22"/>
      <c r="Q22" s="1107" t="s">
        <v>1071</v>
      </c>
      <c r="R22" s="1108"/>
      <c r="S22" s="1108"/>
      <c r="T22" s="1108"/>
      <c r="U22" s="1108"/>
      <c r="V22" s="1108"/>
      <c r="W22" s="1109"/>
      <c r="X22"/>
      <c r="AF22" s="1107" t="s">
        <v>1075</v>
      </c>
      <c r="AG22" s="1108"/>
      <c r="AH22" s="1108"/>
      <c r="AI22" s="1108"/>
      <c r="AJ22" s="1108"/>
      <c r="AK22" s="1108"/>
      <c r="AL22" s="1109"/>
      <c r="AM22" s="673"/>
      <c r="AN22" s="673"/>
      <c r="AO22" s="673"/>
      <c r="AP22" s="673"/>
      <c r="AQ22" s="673"/>
    </row>
    <row r="23" spans="1:46" s="5" customFormat="1" ht="79.900000000000006"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c r="AM23" s="675"/>
      <c r="AN23" s="675"/>
      <c r="AO23" s="675"/>
      <c r="AP23" s="675"/>
      <c r="AQ23" s="675"/>
    </row>
    <row r="24" spans="1:46" s="5" customFormat="1" ht="79.900000000000006"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c r="AM24" s="672"/>
      <c r="AN24" s="672"/>
      <c r="AO24" s="672"/>
      <c r="AP24" s="672"/>
      <c r="AQ24" s="672"/>
    </row>
    <row r="25" spans="1:46" s="5" customFormat="1" ht="79.900000000000006" customHeight="1" x14ac:dyDescent="0.25">
      <c r="B25" s="1114"/>
      <c r="C25" s="1115"/>
      <c r="D25" s="1122"/>
      <c r="E25" s="1122"/>
      <c r="F25" s="1122"/>
      <c r="G25" s="1122"/>
      <c r="H25" s="1124"/>
      <c r="I25"/>
      <c r="Q25" s="1114"/>
      <c r="R25" s="1115"/>
      <c r="S25" s="1122"/>
      <c r="T25" s="1122"/>
      <c r="U25" s="1122"/>
      <c r="V25" s="1122"/>
      <c r="W25" s="1124"/>
      <c r="X25"/>
      <c r="AF25" s="1114"/>
      <c r="AG25" s="1115"/>
      <c r="AH25" s="179"/>
      <c r="AI25" s="179"/>
      <c r="AJ25" s="179"/>
      <c r="AK25" s="179"/>
      <c r="AL25" s="180"/>
      <c r="AM25" s="676"/>
      <c r="AN25" s="676"/>
      <c r="AO25" s="676"/>
      <c r="AP25" s="676"/>
      <c r="AQ25" s="676"/>
    </row>
    <row r="26" spans="1:46" s="5" customFormat="1" ht="199.9" customHeight="1" x14ac:dyDescent="0.25">
      <c r="B26" s="1104" t="s">
        <v>952</v>
      </c>
      <c r="C26" s="149" t="s">
        <v>246</v>
      </c>
      <c r="D26" s="143" cm="1">
        <f t="array" ref="D26">SUMPRODUCT(ISNUMBER(SEARCH('16 Water Heating Costs'!$E$42:$AE$42,'16 Water Heating Costs'!F10)) *'16 Water Heating Costs'!$E$46:$AE$46)</f>
        <v>0</v>
      </c>
      <c r="E26" s="143" cm="1">
        <f t="array" ref="E26">SUMPRODUCT(ISNUMBER(SEARCH('16 Water Heating Costs'!$E$42:$AE$42,'16 Water Heating Costs'!G10)) *'16 Water Heating Costs'!$E$46:$AE$46)</f>
        <v>1206.1629914585394</v>
      </c>
      <c r="F26" s="143" cm="1">
        <f t="array" ref="F26">SUMPRODUCT(ISNUMBER(SEARCH('16 Water Heating Costs'!$E$42:$AE$42,'16 Water Heating Costs'!H10)) *'16 Water Heating Costs'!$E$46:$AE$46)</f>
        <v>1206.1629914585394</v>
      </c>
      <c r="G26" s="143" cm="1">
        <f t="array" ref="G26">SUMPRODUCT(ISNUMBER(SEARCH('16 Water Heating Costs'!$E$42:$AE$42,'16 Water Heating Costs'!I10)) *'16 Water Heating Costs'!$E$46:$AE$46)</f>
        <v>1206.1629914585394</v>
      </c>
      <c r="H26" s="150" cm="1">
        <f t="array" ref="H26">SUMPRODUCT(ISNUMBER(SEARCH('16 Water Heating Costs'!$E$42:$AE$42,'16 Water Heating Costs'!J10)) *'16 Water Heating Costs'!$E$46:$AE$46)</f>
        <v>936.65760173061017</v>
      </c>
      <c r="I26"/>
      <c r="Q26" s="1104" t="s">
        <v>952</v>
      </c>
      <c r="R26" s="149" t="s">
        <v>246</v>
      </c>
      <c r="S26" s="143" cm="1">
        <f t="array" ref="S26">SUMPRODUCT(ISNUMBER(SEARCH('16 Water Heating Costs'!$E$42:$AE$42,'16 Water Heating Costs'!N10)) *'16 Water Heating Costs'!$E$46:$AE$46)</f>
        <v>0</v>
      </c>
      <c r="T26" s="143" cm="1">
        <f t="array" ref="T26">SUMPRODUCT(ISNUMBER(SEARCH('16 Water Heating Costs'!$E$42:$AE$42,'16 Water Heating Costs'!O10)) *'16 Water Heating Costs'!$E$46:$AE$46)</f>
        <v>1206.1629914585394</v>
      </c>
      <c r="U26" s="143" cm="1">
        <f t="array" ref="U26">SUMPRODUCT(ISNUMBER(SEARCH('16 Water Heating Costs'!$E$42:$AE$42,'16 Water Heating Costs'!P10)) *'16 Water Heating Costs'!$E$46:$AE$46)</f>
        <v>1206.1629914585394</v>
      </c>
      <c r="V26" s="143" cm="1">
        <f t="array" ref="V26">SUMPRODUCT(ISNUMBER(SEARCH('16 Water Heating Costs'!$E$42:$AE$42,'16 Water Heating Costs'!Q10)) *'16 Water Heating Costs'!$E$46:$AE$46)</f>
        <v>1206.1629914585394</v>
      </c>
      <c r="W26" s="150" cm="1">
        <f t="array" ref="W26">SUMPRODUCT(ISNUMBER(SEARCH('16 Water Heating Costs'!$E$42:$AE$42,'16 Water Heating Costs'!R10)) *'16 Water Heating Costs'!$E$46:$AE$46)</f>
        <v>936.65760173061017</v>
      </c>
      <c r="X26"/>
      <c r="AF26" s="1104" t="s">
        <v>952</v>
      </c>
      <c r="AG26" s="149" t="s">
        <v>246</v>
      </c>
      <c r="AH26" s="143" cm="1">
        <f t="array" ref="AH26">SUMPRODUCT(ISNUMBER(SEARCH('16 Water Heating Costs'!$E$42:$AE$42,'16 Water Heating Costs'!V10)) *'16 Water Heating Costs'!$E$46:$AE$46)</f>
        <v>0</v>
      </c>
      <c r="AI26" s="143" cm="1">
        <f t="array" ref="AI26">SUMPRODUCT(ISNUMBER(SEARCH('16 Water Heating Costs'!$E$42:$AE$42,'16 Water Heating Costs'!W10)) *'16 Water Heating Costs'!$E$46:$AE$46)</f>
        <v>1206.1629914585394</v>
      </c>
      <c r="AJ26" s="143" cm="1">
        <f t="array" ref="AJ26">SUMPRODUCT(ISNUMBER(SEARCH('16 Water Heating Costs'!$E$42:$AE$42,'16 Water Heating Costs'!X10)) *'16 Water Heating Costs'!$E$46:$AE$46)</f>
        <v>1206.1629914585394</v>
      </c>
      <c r="AK26" s="143" cm="1">
        <f t="array" ref="AK26">SUMPRODUCT(ISNUMBER(SEARCH('16 Water Heating Costs'!$E$42:$AE$42,'16 Water Heating Costs'!Y10)) *'16 Water Heating Costs'!$E$46:$AE$46)</f>
        <v>1206.1629914585394</v>
      </c>
      <c r="AL26" s="150" cm="1">
        <f t="array" ref="AL26">SUMPRODUCT(ISNUMBER(SEARCH('16 Water Heating Costs'!$E$42:$AE$42,'16 Water Heating Costs'!Z10)) *'16 Water Heating Costs'!$E$46:$AE$46)</f>
        <v>936.65760173061017</v>
      </c>
      <c r="AM26" s="681"/>
      <c r="AN26" s="681"/>
      <c r="AO26" s="681"/>
      <c r="AP26" s="681"/>
      <c r="AQ26" s="681"/>
    </row>
    <row r="27" spans="1:46" s="5" customFormat="1" ht="199.9" customHeight="1" x14ac:dyDescent="0.25">
      <c r="B27" s="1105"/>
      <c r="C27" s="152" t="s">
        <v>244</v>
      </c>
      <c r="D27" s="142"/>
      <c r="E27" s="142"/>
      <c r="F27" s="142"/>
      <c r="G27" s="142"/>
      <c r="H27" s="144"/>
      <c r="I27"/>
      <c r="Q27" s="1105"/>
      <c r="R27" s="152" t="s">
        <v>244</v>
      </c>
      <c r="S27" s="142"/>
      <c r="T27" s="142"/>
      <c r="U27" s="142"/>
      <c r="V27" s="142"/>
      <c r="W27" s="144"/>
      <c r="X27"/>
      <c r="AF27" s="1119"/>
      <c r="AG27" s="152" t="s">
        <v>244</v>
      </c>
      <c r="AH27" s="142"/>
      <c r="AI27" s="142"/>
      <c r="AJ27" s="142"/>
      <c r="AK27" s="142"/>
      <c r="AL27" s="144"/>
      <c r="AM27" s="681"/>
      <c r="AN27" s="681"/>
      <c r="AO27" s="681"/>
      <c r="AP27" s="681"/>
      <c r="AQ27" s="681"/>
    </row>
    <row r="28" spans="1:46" s="5" customFormat="1" ht="199.9" customHeight="1" x14ac:dyDescent="0.25">
      <c r="B28" s="1105"/>
      <c r="C28" s="152" t="s">
        <v>86</v>
      </c>
      <c r="D28" s="143" cm="1">
        <f t="array" ref="D28">SUMPRODUCT(ISNUMBER(SEARCH('16 Water Heating Costs'!$E$42:$AE$42,'16 Water Heating Costs'!F12)) *'16 Water Heating Costs'!$E$46:$AE$46)</f>
        <v>4284.6539771338266</v>
      </c>
      <c r="E28" s="143" cm="1">
        <f t="array" ref="E28">SUMPRODUCT(ISNUMBER(SEARCH('16 Water Heating Costs'!$E$42:$AE$42,'16 Water Heating Costs'!G12)) *'16 Water Heating Costs'!$E$46:$AE$46)</f>
        <v>3764.2541215125557</v>
      </c>
      <c r="F28" s="143" cm="1">
        <f t="array" ref="F28">SUMPRODUCT(ISNUMBER(SEARCH('16 Water Heating Costs'!$E$42:$AE$42,'16 Water Heating Costs'!H12)) *'16 Water Heating Costs'!$E$46:$AE$46)</f>
        <v>2850.4020984948875</v>
      </c>
      <c r="G28" s="143" cm="1">
        <f t="array" ref="G28">SUMPRODUCT(ISNUMBER(SEARCH('16 Water Heating Costs'!$E$42:$AE$42,'16 Water Heating Costs'!I12)) *'16 Water Heating Costs'!$E$46:$AE$46)</f>
        <v>3764.2541215125557</v>
      </c>
      <c r="H28" s="150" cm="1">
        <f t="array" ref="H28">SUMPRODUCT(ISNUMBER(SEARCH('16 Water Heating Costs'!$E$42:$AE$42,'16 Water Heating Costs'!J12)) *'16 Water Heating Costs'!$E$46:$AE$46)</f>
        <v>4284.6539771338266</v>
      </c>
      <c r="I28"/>
      <c r="Q28" s="1105"/>
      <c r="R28" s="152" t="s">
        <v>86</v>
      </c>
      <c r="S28" s="143" cm="1">
        <f t="array" ref="S28">SUMPRODUCT(ISNUMBER(SEARCH('16 Water Heating Costs'!$E$42:$AE$42,'16 Water Heating Costs'!N12)) *'16 Water Heating Costs'!$E$46:$AE$46)</f>
        <v>4714.1792203166369</v>
      </c>
      <c r="T28" s="143" cm="1">
        <f t="array" ref="T28">SUMPRODUCT(ISNUMBER(SEARCH('16 Water Heating Costs'!$E$42:$AE$42,'16 Water Heating Costs'!O12)) *'16 Water Heating Costs'!$E$46:$AE$46)</f>
        <v>4193.779364695366</v>
      </c>
      <c r="U28" s="143" cm="1">
        <f t="array" ref="U28">SUMPRODUCT(ISNUMBER(SEARCH('16 Water Heating Costs'!$E$42:$AE$42,'16 Water Heating Costs'!P12)) *'16 Water Heating Costs'!$E$46:$AE$46)</f>
        <v>3279.9273416776987</v>
      </c>
      <c r="V28" s="143" cm="1">
        <f t="array" ref="V28">SUMPRODUCT(ISNUMBER(SEARCH('16 Water Heating Costs'!$E$42:$AE$42,'16 Water Heating Costs'!Q12)) *'16 Water Heating Costs'!$E$46:$AE$46)</f>
        <v>4193.779364695366</v>
      </c>
      <c r="W28" s="150" cm="1">
        <f t="array" ref="W28">SUMPRODUCT(ISNUMBER(SEARCH('16 Water Heating Costs'!$E$42:$AE$42,'16 Water Heating Costs'!R12)) *'16 Water Heating Costs'!$E$46:$AE$46)</f>
        <v>4714.1792203166369</v>
      </c>
      <c r="X28"/>
      <c r="AF28" s="1119"/>
      <c r="AG28" s="152" t="s">
        <v>86</v>
      </c>
      <c r="AH28" s="143" cm="1">
        <f t="array" ref="AH28">SUMPRODUCT(ISNUMBER(SEARCH('16 Water Heating Costs'!$E$42:$AE$42,'16 Water Heating Costs'!V12)) *'16 Water Heating Costs'!$E$46:$AE$46)</f>
        <v>3441.9218501860196</v>
      </c>
      <c r="AI28" s="143" cm="1">
        <f t="array" ref="AI28">SUMPRODUCT(ISNUMBER(SEARCH('16 Water Heating Costs'!$E$42:$AE$42,'16 Water Heating Costs'!W12)) *'16 Water Heating Costs'!$E$46:$AE$46)</f>
        <v>2921.5219945647486</v>
      </c>
      <c r="AJ28" s="143" cm="1">
        <f t="array" ref="AJ28">SUMPRODUCT(ISNUMBER(SEARCH('16 Water Heating Costs'!$E$42:$AE$42,'16 Water Heating Costs'!X12)) *'16 Water Heating Costs'!$E$46:$AE$46)</f>
        <v>2007.6699715470806</v>
      </c>
      <c r="AK28" s="143" cm="1">
        <f t="array" ref="AK28">SUMPRODUCT(ISNUMBER(SEARCH('16 Water Heating Costs'!$E$42:$AE$42,'16 Water Heating Costs'!Y12)) *'16 Water Heating Costs'!$E$46:$AE$46)</f>
        <v>2921.5219945647486</v>
      </c>
      <c r="AL28" s="150" cm="1">
        <f t="array" ref="AL28">SUMPRODUCT(ISNUMBER(SEARCH('16 Water Heating Costs'!$E$42:$AE$42,'16 Water Heating Costs'!Z12)) *'16 Water Heating Costs'!$E$46:$AE$46)</f>
        <v>3441.9218501860196</v>
      </c>
      <c r="AM28" s="681"/>
      <c r="AN28" s="681"/>
      <c r="AO28" s="681"/>
      <c r="AP28" s="681"/>
      <c r="AQ28" s="681"/>
    </row>
    <row r="29" spans="1:46" s="5" customFormat="1" ht="199.9" customHeight="1" x14ac:dyDescent="0.25">
      <c r="B29" s="1105"/>
      <c r="C29" s="152" t="s">
        <v>242</v>
      </c>
      <c r="D29" s="143" cm="1">
        <f t="array" ref="D29">SUMPRODUCT(ISNUMBER(SEARCH('16 Water Heating Costs'!$E$42:$AE$42,'16 Water Heating Costs'!F13)) *'16 Water Heating Costs'!$E$46:$AE$46)</f>
        <v>4284.6539771338266</v>
      </c>
      <c r="E29" s="143" cm="1">
        <f t="array" ref="E29">SUMPRODUCT(ISNUMBER(SEARCH('16 Water Heating Costs'!$E$42:$AE$42,'16 Water Heating Costs'!G13)) *'16 Water Heating Costs'!$E$46:$AE$46)</f>
        <v>3764.2541215125557</v>
      </c>
      <c r="F29" s="143" cm="1">
        <f t="array" ref="F29">SUMPRODUCT(ISNUMBER(SEARCH('16 Water Heating Costs'!$E$42:$AE$42,'16 Water Heating Costs'!H13)) *'16 Water Heating Costs'!$E$46:$AE$46)</f>
        <v>3764.2541215125557</v>
      </c>
      <c r="G29" s="143" cm="1">
        <f t="array" ref="G29">SUMPRODUCT(ISNUMBER(SEARCH('16 Water Heating Costs'!$E$42:$AE$42,'16 Water Heating Costs'!I13)) *'16 Water Heating Costs'!$E$46:$AE$46)</f>
        <v>2850.4020984948875</v>
      </c>
      <c r="H29" s="150" cm="1">
        <f t="array" ref="H29">SUMPRODUCT(ISNUMBER(SEARCH('16 Water Heating Costs'!$E$42:$AE$42,'16 Water Heating Costs'!J13)) *'16 Water Heating Costs'!$E$46:$AE$46)</f>
        <v>4284.6539771338266</v>
      </c>
      <c r="I29"/>
      <c r="Q29" s="1105"/>
      <c r="R29" s="152" t="s">
        <v>242</v>
      </c>
      <c r="S29" s="143" cm="1">
        <f t="array" ref="S29">SUMPRODUCT(ISNUMBER(SEARCH('16 Water Heating Costs'!$E$42:$AE$42,'16 Water Heating Costs'!N13)) *'16 Water Heating Costs'!$E$46:$AE$46)</f>
        <v>4714.1792203166369</v>
      </c>
      <c r="T29" s="143" cm="1">
        <f t="array" ref="T29">SUMPRODUCT(ISNUMBER(SEARCH('16 Water Heating Costs'!$E$42:$AE$42,'16 Water Heating Costs'!O13)) *'16 Water Heating Costs'!$E$46:$AE$46)</f>
        <v>4193.779364695366</v>
      </c>
      <c r="U29" s="143" cm="1">
        <f t="array" ref="U29">SUMPRODUCT(ISNUMBER(SEARCH('16 Water Heating Costs'!$E$42:$AE$42,'16 Water Heating Costs'!P13)) *'16 Water Heating Costs'!$E$46:$AE$46)</f>
        <v>4193.779364695366</v>
      </c>
      <c r="V29" s="143" cm="1">
        <f t="array" ref="V29">SUMPRODUCT(ISNUMBER(SEARCH('16 Water Heating Costs'!$E$42:$AE$42,'16 Water Heating Costs'!Q13)) *'16 Water Heating Costs'!$E$46:$AE$46)</f>
        <v>3279.9273416776987</v>
      </c>
      <c r="W29" s="150" cm="1">
        <f t="array" ref="W29">SUMPRODUCT(ISNUMBER(SEARCH('16 Water Heating Costs'!$E$42:$AE$42,'16 Water Heating Costs'!R13)) *'16 Water Heating Costs'!$E$46:$AE$46)</f>
        <v>4714.1792203166369</v>
      </c>
      <c r="X29"/>
      <c r="AF29" s="1119"/>
      <c r="AG29" s="152" t="s">
        <v>242</v>
      </c>
      <c r="AH29" s="143" cm="1">
        <f t="array" ref="AH29">SUMPRODUCT(ISNUMBER(SEARCH('16 Water Heating Costs'!$E$42:$AE$42,'16 Water Heating Costs'!V13)) *'16 Water Heating Costs'!$E$46:$AE$46)</f>
        <v>3441.9218501860196</v>
      </c>
      <c r="AI29" s="143" cm="1">
        <f t="array" ref="AI29">SUMPRODUCT(ISNUMBER(SEARCH('16 Water Heating Costs'!$E$42:$AE$42,'16 Water Heating Costs'!W13)) *'16 Water Heating Costs'!$E$46:$AE$46)</f>
        <v>2921.5219945647486</v>
      </c>
      <c r="AJ29" s="143" cm="1">
        <f t="array" ref="AJ29">SUMPRODUCT(ISNUMBER(SEARCH('16 Water Heating Costs'!$E$42:$AE$42,'16 Water Heating Costs'!X13)) *'16 Water Heating Costs'!$E$46:$AE$46)</f>
        <v>2921.5219945647486</v>
      </c>
      <c r="AK29" s="143" cm="1">
        <f t="array" ref="AK29">SUMPRODUCT(ISNUMBER(SEARCH('16 Water Heating Costs'!$E$42:$AE$42,'16 Water Heating Costs'!Y13)) *'16 Water Heating Costs'!$E$46:$AE$46)</f>
        <v>2007.6699715470806</v>
      </c>
      <c r="AL29" s="150" cm="1">
        <f t="array" ref="AL29">SUMPRODUCT(ISNUMBER(SEARCH('16 Water Heating Costs'!$E$42:$AE$42,'16 Water Heating Costs'!Z13)) *'16 Water Heating Costs'!$E$46:$AE$46)</f>
        <v>3441.9218501860196</v>
      </c>
      <c r="AM29" s="681"/>
      <c r="AN29" s="681"/>
      <c r="AO29" s="681"/>
      <c r="AP29" s="681"/>
      <c r="AQ29" s="681"/>
    </row>
    <row r="30" spans="1:46" s="5" customFormat="1" ht="199.9" customHeight="1" thickBot="1" x14ac:dyDescent="0.3">
      <c r="B30" s="1106"/>
      <c r="C30" s="153" t="s">
        <v>172</v>
      </c>
      <c r="D30" s="145"/>
      <c r="E30" s="145"/>
      <c r="F30" s="145"/>
      <c r="G30" s="145"/>
      <c r="H30" s="426"/>
      <c r="I30"/>
      <c r="Q30" s="1106"/>
      <c r="R30" s="153" t="s">
        <v>172</v>
      </c>
      <c r="S30" s="145"/>
      <c r="T30" s="145"/>
      <c r="U30" s="145"/>
      <c r="V30" s="145"/>
      <c r="W30" s="426"/>
      <c r="X30"/>
      <c r="AF30" s="1120"/>
      <c r="AG30" s="153" t="s">
        <v>172</v>
      </c>
      <c r="AH30" s="145"/>
      <c r="AI30" s="145"/>
      <c r="AJ30" s="145"/>
      <c r="AK30" s="145"/>
      <c r="AL30" s="426"/>
      <c r="AM30" s="681"/>
      <c r="AN30" s="681"/>
      <c r="AO30" s="681"/>
      <c r="AP30" s="681"/>
      <c r="AQ30" s="681"/>
    </row>
    <row r="31" spans="1:46" s="59" customFormat="1" ht="80.099999999999994" customHeight="1" thickBot="1" x14ac:dyDescent="0.3">
      <c r="A31" s="154"/>
      <c r="B31"/>
      <c r="C31"/>
      <c r="D31"/>
      <c r="E31"/>
      <c r="F31"/>
      <c r="G31"/>
      <c r="H31"/>
      <c r="I31"/>
      <c r="J31" s="5"/>
      <c r="K31" s="5"/>
      <c r="L31" s="5"/>
      <c r="M31" s="5"/>
      <c r="N31" s="5"/>
      <c r="O31" s="5"/>
      <c r="P31" s="5"/>
      <c r="Q31"/>
      <c r="R31"/>
      <c r="S31"/>
      <c r="T31"/>
      <c r="U31"/>
      <c r="V31"/>
      <c r="W31"/>
      <c r="X31"/>
      <c r="Y31" s="5"/>
      <c r="Z31" s="5"/>
      <c r="AA31" s="5"/>
      <c r="AB31" s="5"/>
      <c r="AC31" s="5"/>
      <c r="AD31" s="5"/>
      <c r="AE31" s="5"/>
      <c r="AF31"/>
      <c r="AG31"/>
      <c r="AH31"/>
      <c r="AI31"/>
      <c r="AJ31"/>
      <c r="AK31"/>
      <c r="AL31"/>
    </row>
    <row r="32" spans="1:46" ht="175.15" customHeight="1" x14ac:dyDescent="0.25">
      <c r="A32" s="60"/>
      <c r="B32" s="1107" t="s">
        <v>1073</v>
      </c>
      <c r="C32" s="1108"/>
      <c r="D32" s="1108"/>
      <c r="E32" s="1108"/>
      <c r="F32" s="1108"/>
      <c r="G32" s="1108"/>
      <c r="H32" s="1109"/>
      <c r="I32"/>
      <c r="P32" s="5"/>
      <c r="Q32" s="1107" t="s">
        <v>1072</v>
      </c>
      <c r="R32" s="1108"/>
      <c r="S32" s="1108"/>
      <c r="T32" s="1108"/>
      <c r="U32" s="1108"/>
      <c r="V32" s="1108"/>
      <c r="W32" s="1109"/>
      <c r="X32"/>
      <c r="Y32" s="5"/>
      <c r="Z32" s="5"/>
      <c r="AA32" s="5"/>
      <c r="AB32" s="5"/>
      <c r="AC32" s="5"/>
      <c r="AD32" s="5"/>
      <c r="AE32" s="5"/>
      <c r="AF32" s="1107" t="s">
        <v>1076</v>
      </c>
      <c r="AG32" s="1108"/>
      <c r="AH32" s="1108"/>
      <c r="AI32" s="1108"/>
      <c r="AJ32" s="1108"/>
      <c r="AK32" s="1108"/>
      <c r="AL32" s="1109"/>
    </row>
    <row r="33" spans="1:38" ht="79.900000000000006" customHeight="1" x14ac:dyDescent="0.25">
      <c r="A33" s="60"/>
      <c r="B33" s="1110" t="s">
        <v>977</v>
      </c>
      <c r="C33" s="1111"/>
      <c r="D33" s="1116" t="s">
        <v>951</v>
      </c>
      <c r="E33" s="1117"/>
      <c r="F33" s="1117"/>
      <c r="G33" s="1117"/>
      <c r="H33" s="1118"/>
      <c r="I33"/>
      <c r="P33" s="5"/>
      <c r="Q33" s="1110" t="s">
        <v>977</v>
      </c>
      <c r="R33" s="1111"/>
      <c r="S33" s="1116" t="s">
        <v>951</v>
      </c>
      <c r="T33" s="1117"/>
      <c r="U33" s="1117"/>
      <c r="V33" s="1117"/>
      <c r="W33" s="1118"/>
      <c r="X33"/>
      <c r="Y33" s="5"/>
      <c r="Z33" s="5"/>
      <c r="AA33" s="5"/>
      <c r="AB33" s="5"/>
      <c r="AC33" s="5"/>
      <c r="AD33" s="5"/>
      <c r="AE33" s="5"/>
      <c r="AF33" s="1110" t="s">
        <v>977</v>
      </c>
      <c r="AG33" s="1111"/>
      <c r="AH33" s="1116" t="s">
        <v>951</v>
      </c>
      <c r="AI33" s="1117"/>
      <c r="AJ33" s="1117"/>
      <c r="AK33" s="1117"/>
      <c r="AL33" s="1118"/>
    </row>
    <row r="34" spans="1:38" ht="79.900000000000006" customHeight="1" x14ac:dyDescent="0.25">
      <c r="A34" s="60"/>
      <c r="B34" s="1112"/>
      <c r="C34" s="1113"/>
      <c r="D34" s="1121" t="s">
        <v>246</v>
      </c>
      <c r="E34" s="1121" t="s">
        <v>244</v>
      </c>
      <c r="F34" s="1121" t="s">
        <v>86</v>
      </c>
      <c r="G34" s="1121" t="s">
        <v>242</v>
      </c>
      <c r="H34" s="1123" t="s">
        <v>172</v>
      </c>
      <c r="I34"/>
      <c r="P34" s="5"/>
      <c r="Q34" s="1112"/>
      <c r="R34" s="1113"/>
      <c r="S34" s="1121" t="s">
        <v>246</v>
      </c>
      <c r="T34" s="1121" t="s">
        <v>244</v>
      </c>
      <c r="U34" s="1121" t="s">
        <v>86</v>
      </c>
      <c r="V34" s="1121" t="s">
        <v>242</v>
      </c>
      <c r="W34" s="1123" t="s">
        <v>172</v>
      </c>
      <c r="X34"/>
      <c r="Y34" s="5"/>
      <c r="Z34" s="5"/>
      <c r="AA34" s="5"/>
      <c r="AB34" s="5"/>
      <c r="AC34" s="5"/>
      <c r="AD34" s="5"/>
      <c r="AE34" s="5"/>
      <c r="AF34" s="1112"/>
      <c r="AG34" s="1113"/>
      <c r="AH34" s="668" t="s">
        <v>246</v>
      </c>
      <c r="AI34" s="668" t="s">
        <v>244</v>
      </c>
      <c r="AJ34" s="668" t="s">
        <v>86</v>
      </c>
      <c r="AK34" s="668" t="s">
        <v>242</v>
      </c>
      <c r="AL34" s="677" t="s">
        <v>172</v>
      </c>
    </row>
    <row r="35" spans="1:38" ht="79.900000000000006" customHeight="1" x14ac:dyDescent="0.25">
      <c r="A35" s="60"/>
      <c r="B35" s="1114"/>
      <c r="C35" s="1115"/>
      <c r="D35" s="1122"/>
      <c r="E35" s="1122"/>
      <c r="F35" s="1122"/>
      <c r="G35" s="1122"/>
      <c r="H35" s="1124"/>
      <c r="I35"/>
      <c r="P35" s="5"/>
      <c r="Q35" s="1114"/>
      <c r="R35" s="1115"/>
      <c r="S35" s="1122"/>
      <c r="T35" s="1122"/>
      <c r="U35" s="1122"/>
      <c r="V35" s="1122"/>
      <c r="W35" s="1124"/>
      <c r="X35"/>
      <c r="Y35" s="5"/>
      <c r="Z35" s="5"/>
      <c r="AA35" s="5"/>
      <c r="AB35" s="5"/>
      <c r="AC35" s="5"/>
      <c r="AD35" s="5"/>
      <c r="AE35" s="5"/>
      <c r="AF35" s="1114"/>
      <c r="AG35" s="1115"/>
      <c r="AH35" s="179"/>
      <c r="AI35" s="179"/>
      <c r="AJ35" s="179"/>
      <c r="AK35" s="179"/>
      <c r="AL35" s="180"/>
    </row>
    <row r="36" spans="1:38" ht="199.9" customHeight="1" x14ac:dyDescent="0.25">
      <c r="A36" s="60"/>
      <c r="B36" s="1104" t="s">
        <v>989</v>
      </c>
      <c r="C36" s="149" t="s">
        <v>246</v>
      </c>
      <c r="D36" s="142"/>
      <c r="E36" s="143" cm="1">
        <f t="array" ref="E36">SUMPRODUCT(ISNUMBER(SEARCH('16 Water Heating Costs'!$E$42:$AE$42,'16 Water Heating Costs'!G22)) *'16 Water Heating Costs'!$E$46:$AE$46)</f>
        <v>1206.1629914585394</v>
      </c>
      <c r="F36" s="143" cm="1">
        <f t="array" ref="F36">SUMPRODUCT(ISNUMBER(SEARCH('16 Water Heating Costs'!$E$42:$AE$42,'16 Water Heating Costs'!H22)) *'16 Water Heating Costs'!$E$46:$AE$46)</f>
        <v>1206.1629914585394</v>
      </c>
      <c r="G36" s="143" cm="1">
        <f t="array" ref="G36">SUMPRODUCT(ISNUMBER(SEARCH('16 Water Heating Costs'!$E$42:$AE$42,'16 Water Heating Costs'!I22)) *'16 Water Heating Costs'!$E$46:$AE$46)</f>
        <v>1206.1629914585394</v>
      </c>
      <c r="H36" s="150" cm="1">
        <f t="array" ref="H36">SUMPRODUCT(ISNUMBER(SEARCH('16 Water Heating Costs'!$E$42:$AE$42,'16 Water Heating Costs'!J22)) *'16 Water Heating Costs'!$E$46:$AE$46)</f>
        <v>936.65760173061017</v>
      </c>
      <c r="I36"/>
      <c r="P36" s="5"/>
      <c r="Q36" s="1104" t="s">
        <v>989</v>
      </c>
      <c r="R36" s="149" t="s">
        <v>246</v>
      </c>
      <c r="S36" s="142"/>
      <c r="T36" s="143" cm="1">
        <f t="array" ref="T36">SUMPRODUCT(ISNUMBER(SEARCH('16 Water Heating Costs'!$E$42:$AE$42,'16 Water Heating Costs'!O22)) *'16 Water Heating Costs'!$E$46:$AE$46)</f>
        <v>1206.1629914585394</v>
      </c>
      <c r="U36" s="143" cm="1">
        <f t="array" ref="U36">SUMPRODUCT(ISNUMBER(SEARCH('16 Water Heating Costs'!$E$42:$AE$42,'16 Water Heating Costs'!P22)) *'16 Water Heating Costs'!$E$46:$AE$46)</f>
        <v>1206.1629914585394</v>
      </c>
      <c r="V36" s="143" cm="1">
        <f t="array" ref="V36">SUMPRODUCT(ISNUMBER(SEARCH('16 Water Heating Costs'!$E$42:$AE$42,'16 Water Heating Costs'!Q22)) *'16 Water Heating Costs'!$E$46:$AE$46)</f>
        <v>1206.1629914585394</v>
      </c>
      <c r="W36" s="150" cm="1">
        <f t="array" ref="W36">SUMPRODUCT(ISNUMBER(SEARCH('16 Water Heating Costs'!$E$42:$AE$42,'16 Water Heating Costs'!R22)) *'16 Water Heating Costs'!$E$46:$AE$46)</f>
        <v>936.65760173061017</v>
      </c>
      <c r="X36"/>
      <c r="Y36" s="5"/>
      <c r="Z36" s="5"/>
      <c r="AA36" s="5"/>
      <c r="AB36" s="5"/>
      <c r="AC36" s="5"/>
      <c r="AD36" s="5"/>
      <c r="AE36" s="5"/>
      <c r="AF36" s="1104" t="s">
        <v>989</v>
      </c>
      <c r="AG36" s="149" t="s">
        <v>246</v>
      </c>
      <c r="AH36" s="142"/>
      <c r="AI36" s="143" cm="1">
        <f t="array" ref="AI36">SUMPRODUCT(ISNUMBER(SEARCH('16 Water Heating Costs'!$E$42:$AE$42,'16 Water Heating Costs'!W22)) *'16 Water Heating Costs'!$E$46:$AE$46)</f>
        <v>1206.1629914585394</v>
      </c>
      <c r="AJ36" s="143" cm="1">
        <f t="array" ref="AJ36">SUMPRODUCT(ISNUMBER(SEARCH('16 Water Heating Costs'!$E$42:$AE$42,'16 Water Heating Costs'!X22)) *'16 Water Heating Costs'!$E$46:$AE$46)</f>
        <v>1206.1629914585394</v>
      </c>
      <c r="AK36" s="143" cm="1">
        <f t="array" ref="AK36">SUMPRODUCT(ISNUMBER(SEARCH('16 Water Heating Costs'!$E$42:$AE$42,'16 Water Heating Costs'!Y22)) *'16 Water Heating Costs'!$E$46:$AE$46)</f>
        <v>1206.1629914585394</v>
      </c>
      <c r="AL36" s="150" cm="1">
        <f t="array" ref="AL36">SUMPRODUCT(ISNUMBER(SEARCH('16 Water Heating Costs'!$E$42:$AE$42,'16 Water Heating Costs'!Z22)) *'16 Water Heating Costs'!$E$46:$AE$46)</f>
        <v>936.65760173061017</v>
      </c>
    </row>
    <row r="37" spans="1:38" ht="199.9" customHeight="1" x14ac:dyDescent="0.25">
      <c r="A37" s="60"/>
      <c r="B37" s="1105"/>
      <c r="C37" s="152" t="s">
        <v>244</v>
      </c>
      <c r="D37" s="143" cm="1">
        <f t="array" ref="D37">SUMPRODUCT(ISNUMBER(SEARCH('16 Water Heating Costs'!$E$42:$AE$42,'16 Water Heating Costs'!F23)) *'16 Water Heating Costs'!$E$46:$AE$46)</f>
        <v>2502.3633787490544</v>
      </c>
      <c r="E37" s="142"/>
      <c r="F37" s="143" cm="1">
        <f t="array" ref="F37">SUMPRODUCT(ISNUMBER(SEARCH('16 Water Heating Costs'!$E$42:$AE$42,'16 Water Heating Costs'!H23)) *'16 Water Heating Costs'!$E$46:$AE$46)</f>
        <v>1981.963523127783</v>
      </c>
      <c r="G37" s="143" cm="1">
        <f t="array" ref="G37">SUMPRODUCT(ISNUMBER(SEARCH('16 Water Heating Costs'!$E$42:$AE$42,'16 Water Heating Costs'!I23)) *'16 Water Heating Costs'!$E$46:$AE$46)</f>
        <v>1981.963523127783</v>
      </c>
      <c r="H37" s="150" cm="1">
        <f t="array" ref="H37">SUMPRODUCT(ISNUMBER(SEARCH('16 Water Heating Costs'!$E$42:$AE$42,'16 Water Heating Costs'!J23)) *'16 Water Heating Costs'!$E$46:$AE$46)</f>
        <v>2502.3633787490544</v>
      </c>
      <c r="I37"/>
      <c r="P37" s="5"/>
      <c r="Q37" s="1105"/>
      <c r="R37" s="152" t="s">
        <v>244</v>
      </c>
      <c r="S37" s="143" cm="1">
        <f t="array" ref="S37">SUMPRODUCT(ISNUMBER(SEARCH('16 Water Heating Costs'!$E$42:$AE$42,'16 Water Heating Costs'!N23)) *'16 Water Heating Costs'!$E$46:$AE$46)</f>
        <v>3110.0895914993653</v>
      </c>
      <c r="T37" s="142"/>
      <c r="U37" s="143" cm="1">
        <f t="array" ref="U37">SUMPRODUCT(ISNUMBER(SEARCH('16 Water Heating Costs'!$E$42:$AE$42,'16 Water Heating Costs'!P23)) *'16 Water Heating Costs'!$E$46:$AE$46)</f>
        <v>2589.6897358780943</v>
      </c>
      <c r="V37" s="143" cm="1">
        <f t="array" ref="V37">SUMPRODUCT(ISNUMBER(SEARCH('16 Water Heating Costs'!$E$42:$AE$42,'16 Water Heating Costs'!Q23)) *'16 Water Heating Costs'!$E$46:$AE$46)</f>
        <v>2589.6897358780943</v>
      </c>
      <c r="W37" s="150" cm="1">
        <f t="array" ref="W37">SUMPRODUCT(ISNUMBER(SEARCH('16 Water Heating Costs'!$E$42:$AE$42,'16 Water Heating Costs'!R23)) *'16 Water Heating Costs'!$E$46:$AE$46)</f>
        <v>3110.0895914993653</v>
      </c>
      <c r="X37"/>
      <c r="Y37" s="5"/>
      <c r="Z37" s="5"/>
      <c r="AA37" s="5"/>
      <c r="AB37" s="5"/>
      <c r="AC37" s="5"/>
      <c r="AD37" s="5"/>
      <c r="AE37" s="5"/>
      <c r="AF37" s="1119"/>
      <c r="AG37" s="152" t="s">
        <v>244</v>
      </c>
      <c r="AH37" s="143" cm="1">
        <f t="array" ref="AH37">SUMPRODUCT(ISNUMBER(SEARCH('16 Water Heating Costs'!$E$42:$AE$42,'16 Water Heating Costs'!V23)) *'16 Water Heating Costs'!$E$46:$AE$46)</f>
        <v>2310.4498378805347</v>
      </c>
      <c r="AI37" s="142"/>
      <c r="AJ37" s="143" cm="1">
        <f t="array" ref="AJ37">SUMPRODUCT(ISNUMBER(SEARCH('16 Water Heating Costs'!$E$42:$AE$42,'16 Water Heating Costs'!X23)) *'16 Water Heating Costs'!$E$46:$AE$46)</f>
        <v>1790.0499822592637</v>
      </c>
      <c r="AK37" s="143" cm="1">
        <f t="array" ref="AK37">SUMPRODUCT(ISNUMBER(SEARCH('16 Water Heating Costs'!$E$42:$AE$42,'16 Water Heating Costs'!Y23)) *'16 Water Heating Costs'!$E$46:$AE$46)</f>
        <v>1790.0499822592637</v>
      </c>
      <c r="AL37" s="150" cm="1">
        <f t="array" ref="AL37">SUMPRODUCT(ISNUMBER(SEARCH('16 Water Heating Costs'!$E$42:$AE$42,'16 Water Heating Costs'!Z23)) *'16 Water Heating Costs'!$E$46:$AE$46)</f>
        <v>2310.4498378805347</v>
      </c>
    </row>
    <row r="38" spans="1:38" s="61" customFormat="1" ht="199.9" customHeight="1" x14ac:dyDescent="0.25">
      <c r="A38" s="60"/>
      <c r="B38" s="1105"/>
      <c r="C38" s="152" t="s">
        <v>86</v>
      </c>
      <c r="D38" s="143" cm="1">
        <f t="array" ref="D38">SUMPRODUCT(ISNUMBER(SEARCH('16 Water Heating Costs'!$E$42:$AE$42,'16 Water Heating Costs'!F24)) *'16 Water Heating Costs'!$E$46:$AE$46)</f>
        <v>2083.7618784907972</v>
      </c>
      <c r="E38" s="143" cm="1">
        <f t="array" ref="E38">SUMPRODUCT(ISNUMBER(SEARCH('16 Water Heating Costs'!$E$42:$AE$42,'16 Water Heating Costs'!G24)) *'16 Water Heating Costs'!$E$46:$AE$46)</f>
        <v>1563.3620228695263</v>
      </c>
      <c r="F38" s="142"/>
      <c r="G38" s="143" cm="1">
        <f t="array" ref="G38">SUMPRODUCT(ISNUMBER(SEARCH('16 Water Heating Costs'!$E$42:$AE$42,'16 Water Heating Costs'!I24)) *'16 Water Heating Costs'!$E$46:$AE$46)</f>
        <v>1563.3620228695263</v>
      </c>
      <c r="H38" s="150" cm="1">
        <f t="array" ref="H38">SUMPRODUCT(ISNUMBER(SEARCH('16 Water Heating Costs'!$E$42:$AE$42,'16 Water Heating Costs'!J24)) *'16 Water Heating Costs'!$E$46:$AE$46)</f>
        <v>2083.7618784907972</v>
      </c>
      <c r="I38"/>
      <c r="J38" s="5"/>
      <c r="K38" s="5"/>
      <c r="L38" s="5"/>
      <c r="M38" s="5"/>
      <c r="N38" s="5"/>
      <c r="O38" s="5"/>
      <c r="P38" s="5"/>
      <c r="Q38" s="1105"/>
      <c r="R38" s="152" t="s">
        <v>86</v>
      </c>
      <c r="S38" s="143" cm="1">
        <f t="array" ref="S38">SUMPRODUCT(ISNUMBER(SEARCH('16 Water Heating Costs'!$E$42:$AE$42,'16 Water Heating Costs'!N24)) *'16 Water Heating Costs'!$E$46:$AE$46)</f>
        <v>2180.0679868277502</v>
      </c>
      <c r="T38" s="143" cm="1">
        <f t="array" ref="T38">SUMPRODUCT(ISNUMBER(SEARCH('16 Water Heating Costs'!$E$42:$AE$42,'16 Water Heating Costs'!O24)) *'16 Water Heating Costs'!$E$46:$AE$46)</f>
        <v>1659.6681312064793</v>
      </c>
      <c r="U38" s="142"/>
      <c r="V38" s="143" cm="1">
        <f t="array" ref="V38">SUMPRODUCT(ISNUMBER(SEARCH('16 Water Heating Costs'!$E$42:$AE$42,'16 Water Heating Costs'!Q24)) *'16 Water Heating Costs'!$E$46:$AE$46)</f>
        <v>1659.6681312064793</v>
      </c>
      <c r="W38" s="150" cm="1">
        <f t="array" ref="W38">SUMPRODUCT(ISNUMBER(SEARCH('16 Water Heating Costs'!$E$42:$AE$42,'16 Water Heating Costs'!R24)) *'16 Water Heating Costs'!$E$46:$AE$46)</f>
        <v>2180.0679868277502</v>
      </c>
      <c r="X38"/>
      <c r="Y38" s="5"/>
      <c r="Z38" s="5"/>
      <c r="AA38" s="5"/>
      <c r="AB38" s="5"/>
      <c r="AC38" s="5"/>
      <c r="AD38" s="5"/>
      <c r="AE38" s="5"/>
      <c r="AF38" s="1119"/>
      <c r="AG38" s="152" t="s">
        <v>86</v>
      </c>
      <c r="AH38" s="143" cm="1">
        <f t="array" ref="AH38">SUMPRODUCT(ISNUMBER(SEARCH('16 Water Heating Costs'!$E$42:$AE$42,'16 Water Heating Costs'!V24)) *'16 Water Heating Costs'!$E$46:$AE$46)</f>
        <v>1894.8084867984639</v>
      </c>
      <c r="AI38" s="143" cm="1">
        <f t="array" ref="AI38">SUMPRODUCT(ISNUMBER(SEARCH('16 Water Heating Costs'!$E$42:$AE$42,'16 Water Heating Costs'!W24)) *'16 Water Heating Costs'!$E$46:$AE$46)</f>
        <v>1374.4086311771925</v>
      </c>
      <c r="AJ38" s="142"/>
      <c r="AK38" s="143" cm="1">
        <f t="array" ref="AK38">SUMPRODUCT(ISNUMBER(SEARCH('16 Water Heating Costs'!$E$42:$AE$42,'16 Water Heating Costs'!Y24)) *'16 Water Heating Costs'!$E$46:$AE$46)</f>
        <v>1374.4086311771925</v>
      </c>
      <c r="AL38" s="150" cm="1">
        <f t="array" ref="AL38">SUMPRODUCT(ISNUMBER(SEARCH('16 Water Heating Costs'!$E$42:$AE$42,'16 Water Heating Costs'!Z24)) *'16 Water Heating Costs'!$E$46:$AE$46)</f>
        <v>1894.8084867984639</v>
      </c>
    </row>
    <row r="39" spans="1:38" ht="199.9" customHeight="1" x14ac:dyDescent="0.25">
      <c r="B39" s="1105"/>
      <c r="C39" s="152" t="s">
        <v>242</v>
      </c>
      <c r="D39" s="143" cm="1">
        <f t="array" ref="D39">SUMPRODUCT(ISNUMBER(SEARCH('16 Water Heating Costs'!$E$42:$AE$42,'16 Water Heating Costs'!F25)) *'16 Water Heating Costs'!$E$46:$AE$46)</f>
        <v>2083.7618784907972</v>
      </c>
      <c r="E39" s="143" cm="1">
        <f t="array" ref="E39">SUMPRODUCT(ISNUMBER(SEARCH('16 Water Heating Costs'!$E$42:$AE$42,'16 Water Heating Costs'!G25)) *'16 Water Heating Costs'!$E$46:$AE$46)</f>
        <v>1563.3620228695263</v>
      </c>
      <c r="F39" s="143" cm="1">
        <f t="array" ref="F39">SUMPRODUCT(ISNUMBER(SEARCH('16 Water Heating Costs'!$E$42:$AE$42,'16 Water Heating Costs'!H25)) *'16 Water Heating Costs'!$E$46:$AE$46)</f>
        <v>1563.3620228695263</v>
      </c>
      <c r="G39" s="142"/>
      <c r="H39" s="150" cm="1">
        <f t="array" ref="H39">SUMPRODUCT(ISNUMBER(SEARCH('16 Water Heating Costs'!$E$42:$AE$42,'16 Water Heating Costs'!J25)) *'16 Water Heating Costs'!$E$46:$AE$46)</f>
        <v>2083.7618784907972</v>
      </c>
      <c r="I39"/>
      <c r="P39" s="5"/>
      <c r="Q39" s="1105"/>
      <c r="R39" s="152" t="s">
        <v>242</v>
      </c>
      <c r="S39" s="143" cm="1">
        <f t="array" ref="S39">SUMPRODUCT(ISNUMBER(SEARCH('16 Water Heating Costs'!$E$42:$AE$42,'16 Water Heating Costs'!N25)) *'16 Water Heating Costs'!$E$46:$AE$46)</f>
        <v>2180.0679868277502</v>
      </c>
      <c r="T39" s="143" cm="1">
        <f t="array" ref="T39">SUMPRODUCT(ISNUMBER(SEARCH('16 Water Heating Costs'!$E$42:$AE$42,'16 Water Heating Costs'!O25)) *'16 Water Heating Costs'!$E$46:$AE$46)</f>
        <v>1659.6681312064793</v>
      </c>
      <c r="U39" s="143" cm="1">
        <f t="array" ref="U39">SUMPRODUCT(ISNUMBER(SEARCH('16 Water Heating Costs'!$E$42:$AE$42,'16 Water Heating Costs'!P25)) *'16 Water Heating Costs'!$E$46:$AE$46)</f>
        <v>1659.6681312064793</v>
      </c>
      <c r="V39" s="142"/>
      <c r="W39" s="150" cm="1">
        <f t="array" ref="W39">SUMPRODUCT(ISNUMBER(SEARCH('16 Water Heating Costs'!$E$42:$AE$42,'16 Water Heating Costs'!R25)) *'16 Water Heating Costs'!$E$46:$AE$46)</f>
        <v>2180.0679868277502</v>
      </c>
      <c r="X39"/>
      <c r="Y39" s="5"/>
      <c r="Z39" s="5"/>
      <c r="AA39" s="5"/>
      <c r="AB39" s="5"/>
      <c r="AC39" s="5"/>
      <c r="AD39" s="5"/>
      <c r="AE39" s="5"/>
      <c r="AF39" s="1119"/>
      <c r="AG39" s="152" t="s">
        <v>242</v>
      </c>
      <c r="AH39" s="143" cm="1">
        <f t="array" ref="AH39">SUMPRODUCT(ISNUMBER(SEARCH('16 Water Heating Costs'!$E$42:$AE$42,'16 Water Heating Costs'!V25)) *'16 Water Heating Costs'!$E$46:$AE$46)</f>
        <v>1894.8084867984639</v>
      </c>
      <c r="AI39" s="143" cm="1">
        <f t="array" ref="AI39">SUMPRODUCT(ISNUMBER(SEARCH('16 Water Heating Costs'!$E$42:$AE$42,'16 Water Heating Costs'!W25)) *'16 Water Heating Costs'!$E$46:$AE$46)</f>
        <v>1374.4086311771925</v>
      </c>
      <c r="AJ39" s="143" cm="1">
        <f t="array" ref="AJ39">SUMPRODUCT(ISNUMBER(SEARCH('16 Water Heating Costs'!$E$42:$AE$42,'16 Water Heating Costs'!X25)) *'16 Water Heating Costs'!$E$46:$AE$46)</f>
        <v>1374.4086311771925</v>
      </c>
      <c r="AK39" s="142"/>
      <c r="AL39" s="150" cm="1">
        <f t="array" ref="AL39">SUMPRODUCT(ISNUMBER(SEARCH('16 Water Heating Costs'!$E$42:$AE$42,'16 Water Heating Costs'!Z25)) *'16 Water Heating Costs'!$E$46:$AE$46)</f>
        <v>1894.8084867984639</v>
      </c>
    </row>
    <row r="40" spans="1:38" ht="199.9" customHeight="1" thickBot="1" x14ac:dyDescent="0.3">
      <c r="A40" s="60"/>
      <c r="B40" s="1106"/>
      <c r="C40" s="153" t="s">
        <v>172</v>
      </c>
      <c r="D40" s="354" cm="1">
        <f t="array" ref="D40">SUMPRODUCT(ISNUMBER(SEARCH('16 Water Heating Costs'!$E$42:$AE$42,'16 Water Heating Costs'!F26)) *'16 Water Heating Costs'!$E$46:$AE$46)</f>
        <v>80</v>
      </c>
      <c r="E40" s="354" cm="1">
        <f t="array" ref="E40">SUMPRODUCT(ISNUMBER(SEARCH('16 Water Heating Costs'!$E$42:$AE$42,'16 Water Heating Costs'!G26)) *'16 Water Heating Costs'!$E$46:$AE$46)</f>
        <v>1206.1629914585394</v>
      </c>
      <c r="F40" s="354" cm="1">
        <f t="array" ref="F40">SUMPRODUCT(ISNUMBER(SEARCH('16 Water Heating Costs'!$E$42:$AE$42,'16 Water Heating Costs'!H26)) *'16 Water Heating Costs'!$E$46:$AE$46)</f>
        <v>1206.1629914585394</v>
      </c>
      <c r="G40" s="354" cm="1">
        <f t="array" ref="G40">SUMPRODUCT(ISNUMBER(SEARCH('16 Water Heating Costs'!$E$42:$AE$42,'16 Water Heating Costs'!I26)) *'16 Water Heating Costs'!$E$46:$AE$46)</f>
        <v>1206.1629914585394</v>
      </c>
      <c r="H40" s="426"/>
      <c r="I40"/>
      <c r="P40" s="5"/>
      <c r="Q40" s="1106"/>
      <c r="R40" s="153" t="s">
        <v>172</v>
      </c>
      <c r="S40" s="354" cm="1">
        <f t="array" ref="S40">SUMPRODUCT(ISNUMBER(SEARCH('16 Water Heating Costs'!$E$42:$AE$42,'16 Water Heating Costs'!N26)) *'16 Water Heating Costs'!$E$46:$AE$46)</f>
        <v>80</v>
      </c>
      <c r="T40" s="354" cm="1">
        <f t="array" ref="T40">SUMPRODUCT(ISNUMBER(SEARCH('16 Water Heating Costs'!$E$42:$AE$42,'16 Water Heating Costs'!O26)) *'16 Water Heating Costs'!$E$46:$AE$46)</f>
        <v>1206.1629914585394</v>
      </c>
      <c r="U40" s="354" cm="1">
        <f t="array" ref="U40">SUMPRODUCT(ISNUMBER(SEARCH('16 Water Heating Costs'!$E$42:$AE$42,'16 Water Heating Costs'!P26)) *'16 Water Heating Costs'!$E$46:$AE$46)</f>
        <v>1206.1629914585394</v>
      </c>
      <c r="V40" s="354" cm="1">
        <f t="array" ref="V40">SUMPRODUCT(ISNUMBER(SEARCH('16 Water Heating Costs'!$E$42:$AE$42,'16 Water Heating Costs'!Q26)) *'16 Water Heating Costs'!$E$46:$AE$46)</f>
        <v>1206.1629914585394</v>
      </c>
      <c r="W40" s="426"/>
      <c r="X40"/>
      <c r="Y40" s="5"/>
      <c r="Z40" s="5"/>
      <c r="AA40" s="5"/>
      <c r="AB40" s="5"/>
      <c r="AC40" s="5"/>
      <c r="AD40" s="5"/>
      <c r="AE40" s="5"/>
      <c r="AF40" s="1120"/>
      <c r="AG40" s="153" t="s">
        <v>172</v>
      </c>
      <c r="AH40" s="354" cm="1">
        <f t="array" ref="AH40">SUMPRODUCT(ISNUMBER(SEARCH('16 Water Heating Costs'!$E$42:$AE$42,'16 Water Heating Costs'!V26)) *'16 Water Heating Costs'!$E$46:$AE$46)</f>
        <v>80</v>
      </c>
      <c r="AI40" s="354" cm="1">
        <f t="array" ref="AI40">SUMPRODUCT(ISNUMBER(SEARCH('16 Water Heating Costs'!$E$42:$AE$42,'16 Water Heating Costs'!W26)) *'16 Water Heating Costs'!$E$46:$AE$46)</f>
        <v>1206.1629914585394</v>
      </c>
      <c r="AJ40" s="354" cm="1">
        <f t="array" ref="AJ40">SUMPRODUCT(ISNUMBER(SEARCH('16 Water Heating Costs'!$E$42:$AE$42,'16 Water Heating Costs'!X26)) *'16 Water Heating Costs'!$E$46:$AE$46)</f>
        <v>1206.1629914585394</v>
      </c>
      <c r="AK40" s="354" cm="1">
        <f t="array" ref="AK40">SUMPRODUCT(ISNUMBER(SEARCH('16 Water Heating Costs'!$E$42:$AE$42,'16 Water Heating Costs'!Y26)) *'16 Water Heating Costs'!$E$46:$AE$46)</f>
        <v>1206.1629914585394</v>
      </c>
      <c r="AL40" s="426"/>
    </row>
    <row r="41" spans="1:38" ht="79.900000000000006" customHeight="1" thickBot="1" x14ac:dyDescent="0.3">
      <c r="A41" s="60"/>
      <c r="B41"/>
      <c r="C41"/>
      <c r="D41"/>
      <c r="E41"/>
      <c r="F41"/>
      <c r="G41"/>
      <c r="H41"/>
      <c r="I41"/>
      <c r="P41" s="5"/>
      <c r="Q41"/>
      <c r="R41"/>
      <c r="S41"/>
      <c r="T41"/>
      <c r="U41"/>
      <c r="V41"/>
      <c r="W41"/>
      <c r="X41"/>
      <c r="Y41" s="5"/>
      <c r="Z41" s="5"/>
      <c r="AA41" s="5"/>
      <c r="AB41" s="5"/>
      <c r="AC41" s="5"/>
      <c r="AD41" s="5"/>
      <c r="AE41" s="5"/>
      <c r="AF41"/>
      <c r="AG41"/>
      <c r="AH41"/>
      <c r="AI41"/>
      <c r="AJ41"/>
      <c r="AK41"/>
      <c r="AL41"/>
    </row>
    <row r="42" spans="1:38" ht="231" customHeight="1" x14ac:dyDescent="0.25">
      <c r="A42" s="60"/>
      <c r="B42" s="1107" t="s">
        <v>1629</v>
      </c>
      <c r="C42" s="1108"/>
      <c r="D42" s="1108"/>
      <c r="E42" s="1108"/>
      <c r="F42" s="1108"/>
      <c r="G42" s="1108"/>
      <c r="H42" s="1109"/>
      <c r="I42"/>
      <c r="P42" s="5"/>
      <c r="Q42" s="1107" t="s">
        <v>1630</v>
      </c>
      <c r="R42" s="1108"/>
      <c r="S42" s="1108"/>
      <c r="T42" s="1108"/>
      <c r="U42" s="1108"/>
      <c r="V42" s="1108"/>
      <c r="W42" s="1109"/>
      <c r="X42"/>
      <c r="Y42" s="5"/>
      <c r="Z42" s="5"/>
      <c r="AA42" s="5"/>
      <c r="AB42" s="5"/>
      <c r="AC42" s="5"/>
      <c r="AD42" s="5"/>
      <c r="AE42" s="5"/>
      <c r="AF42" s="1107" t="s">
        <v>1631</v>
      </c>
      <c r="AG42" s="1108"/>
      <c r="AH42" s="1108"/>
      <c r="AI42" s="1108"/>
      <c r="AJ42" s="1108"/>
      <c r="AK42" s="1108"/>
      <c r="AL42" s="1109"/>
    </row>
    <row r="43" spans="1:38" ht="79.900000000000006" customHeight="1" x14ac:dyDescent="0.25">
      <c r="A43" s="60"/>
      <c r="B43" s="1110" t="s">
        <v>977</v>
      </c>
      <c r="C43" s="1111"/>
      <c r="D43" s="1116" t="s">
        <v>990</v>
      </c>
      <c r="E43" s="1117"/>
      <c r="F43" s="1117"/>
      <c r="G43" s="1117"/>
      <c r="H43" s="1118"/>
      <c r="I43"/>
      <c r="P43" s="5"/>
      <c r="Q43" s="1110" t="s">
        <v>977</v>
      </c>
      <c r="R43" s="1111"/>
      <c r="S43" s="1116" t="s">
        <v>990</v>
      </c>
      <c r="T43" s="1117"/>
      <c r="U43" s="1117"/>
      <c r="V43" s="1117"/>
      <c r="W43" s="1118"/>
      <c r="X43"/>
      <c r="Y43" s="5"/>
      <c r="Z43" s="5"/>
      <c r="AA43" s="5"/>
      <c r="AB43" s="5"/>
      <c r="AC43" s="5"/>
      <c r="AD43" s="5"/>
      <c r="AE43" s="5"/>
      <c r="AF43" s="1110" t="s">
        <v>977</v>
      </c>
      <c r="AG43" s="1111"/>
      <c r="AH43" s="1116" t="s">
        <v>990</v>
      </c>
      <c r="AI43" s="1117"/>
      <c r="AJ43" s="1117"/>
      <c r="AK43" s="1117"/>
      <c r="AL43" s="1118"/>
    </row>
    <row r="44" spans="1:38" ht="79.900000000000006" customHeight="1" x14ac:dyDescent="0.25">
      <c r="A44" s="60"/>
      <c r="B44" s="1112"/>
      <c r="C44" s="1113"/>
      <c r="D44" s="1121" t="s">
        <v>246</v>
      </c>
      <c r="E44" s="1121" t="s">
        <v>244</v>
      </c>
      <c r="F44" s="1121" t="s">
        <v>86</v>
      </c>
      <c r="G44" s="1121" t="s">
        <v>242</v>
      </c>
      <c r="H44" s="1123" t="s">
        <v>172</v>
      </c>
      <c r="I44"/>
      <c r="P44" s="5"/>
      <c r="Q44" s="1112"/>
      <c r="R44" s="1113"/>
      <c r="S44" s="1121" t="s">
        <v>246</v>
      </c>
      <c r="T44" s="1121" t="s">
        <v>244</v>
      </c>
      <c r="U44" s="1121" t="s">
        <v>86</v>
      </c>
      <c r="V44" s="1121" t="s">
        <v>242</v>
      </c>
      <c r="W44" s="1123" t="s">
        <v>172</v>
      </c>
      <c r="X44"/>
      <c r="Y44" s="5"/>
      <c r="Z44" s="5"/>
      <c r="AA44" s="5"/>
      <c r="AB44" s="5"/>
      <c r="AC44" s="5"/>
      <c r="AD44" s="5"/>
      <c r="AE44" s="5"/>
      <c r="AF44" s="1112"/>
      <c r="AG44" s="1113"/>
      <c r="AH44" s="668" t="s">
        <v>246</v>
      </c>
      <c r="AI44" s="668" t="s">
        <v>244</v>
      </c>
      <c r="AJ44" s="668" t="s">
        <v>86</v>
      </c>
      <c r="AK44" s="668" t="s">
        <v>242</v>
      </c>
      <c r="AL44" s="677" t="s">
        <v>172</v>
      </c>
    </row>
    <row r="45" spans="1:38" ht="79.900000000000006" customHeight="1" x14ac:dyDescent="0.25">
      <c r="A45" s="60"/>
      <c r="B45" s="1114"/>
      <c r="C45" s="1115"/>
      <c r="D45" s="1122"/>
      <c r="E45" s="1122"/>
      <c r="F45" s="1122"/>
      <c r="G45" s="1122"/>
      <c r="H45" s="1124"/>
      <c r="I45"/>
      <c r="P45" s="5"/>
      <c r="Q45" s="1114"/>
      <c r="R45" s="1115"/>
      <c r="S45" s="1122"/>
      <c r="T45" s="1122"/>
      <c r="U45" s="1122"/>
      <c r="V45" s="1122"/>
      <c r="W45" s="1124"/>
      <c r="X45"/>
      <c r="Y45" s="5"/>
      <c r="Z45" s="5"/>
      <c r="AA45" s="5"/>
      <c r="AB45" s="5"/>
      <c r="AC45" s="5"/>
      <c r="AD45" s="5"/>
      <c r="AE45" s="5"/>
      <c r="AF45" s="1114"/>
      <c r="AG45" s="1115"/>
      <c r="AH45" s="179"/>
      <c r="AI45" s="179"/>
      <c r="AJ45" s="179"/>
      <c r="AK45" s="179"/>
      <c r="AL45" s="180"/>
    </row>
    <row r="46" spans="1:38" ht="199.9" customHeight="1" x14ac:dyDescent="0.25">
      <c r="B46" s="1104" t="s">
        <v>952</v>
      </c>
      <c r="C46" s="149" t="s">
        <v>246</v>
      </c>
      <c r="D46" s="142"/>
      <c r="E46" s="143" cm="1">
        <f t="array" ref="E46">SUMPRODUCT(ISNUMBER(SEARCH('16 Water Heating Costs'!$E$42:$AE$42,'16 Water Heating Costs'!G33)) *'16 Water Heating Costs'!$E$46:$AE$46)</f>
        <v>1206.1629914585394</v>
      </c>
      <c r="F46" s="143" cm="1">
        <f t="array" ref="F46">SUMPRODUCT(ISNUMBER(SEARCH('16 Water Heating Costs'!$E$42:$AE$42,'16 Water Heating Costs'!H33)) *'16 Water Heating Costs'!$E$46:$AE$46)</f>
        <v>1206.1629914585394</v>
      </c>
      <c r="G46" s="143" cm="1">
        <f t="array" ref="G46">SUMPRODUCT(ISNUMBER(SEARCH('16 Water Heating Costs'!$E$42:$AE$42,'16 Water Heating Costs'!I33)) *'16 Water Heating Costs'!$E$46:$AE$46)</f>
        <v>1206.1629914585394</v>
      </c>
      <c r="H46" s="150" cm="1">
        <f t="array" ref="H46">SUMPRODUCT(ISNUMBER(SEARCH('16 Water Heating Costs'!$E$42:$AE$42,'16 Water Heating Costs'!J33)) *'16 Water Heating Costs'!$E$46:$AE$46)</f>
        <v>936.65760173061017</v>
      </c>
      <c r="I46"/>
      <c r="P46" s="5"/>
      <c r="Q46" s="1104" t="s">
        <v>952</v>
      </c>
      <c r="R46" s="149" t="s">
        <v>246</v>
      </c>
      <c r="S46" s="142"/>
      <c r="T46" s="143" cm="1">
        <f t="array" ref="T46">SUMPRODUCT(ISNUMBER(SEARCH('16 Water Heating Costs'!$E$42:$AE$42,'16 Water Heating Costs'!O33)) *'16 Water Heating Costs'!$E$46:$AE$46)</f>
        <v>1206.1629914585394</v>
      </c>
      <c r="U46" s="143" cm="1">
        <f t="array" ref="U46">SUMPRODUCT(ISNUMBER(SEARCH('16 Water Heating Costs'!$E$42:$AE$42,'16 Water Heating Costs'!P33)) *'16 Water Heating Costs'!$E$46:$AE$46)</f>
        <v>1206.1629914585394</v>
      </c>
      <c r="V46" s="143" cm="1">
        <f t="array" ref="V46">SUMPRODUCT(ISNUMBER(SEARCH('16 Water Heating Costs'!$E$42:$AE$42,'16 Water Heating Costs'!Q33)) *'16 Water Heating Costs'!$E$46:$AE$46)</f>
        <v>1206.1629914585394</v>
      </c>
      <c r="W46" s="150" cm="1">
        <f t="array" ref="W46">SUMPRODUCT(ISNUMBER(SEARCH('16 Water Heating Costs'!$E$42:$AE$42,'16 Water Heating Costs'!R33)) *'16 Water Heating Costs'!$E$46:$AE$46)</f>
        <v>936.65760173061017</v>
      </c>
      <c r="X46"/>
      <c r="Y46" s="5"/>
      <c r="Z46" s="5"/>
      <c r="AA46" s="5"/>
      <c r="AB46" s="5"/>
      <c r="AC46" s="5"/>
      <c r="AD46" s="5"/>
      <c r="AE46" s="5"/>
      <c r="AF46" s="1104" t="s">
        <v>952</v>
      </c>
      <c r="AG46" s="149" t="s">
        <v>246</v>
      </c>
      <c r="AH46" s="142"/>
      <c r="AI46" s="143" cm="1">
        <f t="array" ref="AI46">SUMPRODUCT(ISNUMBER(SEARCH('16 Water Heating Costs'!$E$42:$AE$42,'16 Water Heating Costs'!W33)) *'16 Water Heating Costs'!$E$46:$AE$46)</f>
        <v>1206.1629914585394</v>
      </c>
      <c r="AJ46" s="143" cm="1">
        <f t="array" ref="AJ46">SUMPRODUCT(ISNUMBER(SEARCH('16 Water Heating Costs'!$E$42:$AE$42,'16 Water Heating Costs'!X33)) *'16 Water Heating Costs'!$E$46:$AE$46)</f>
        <v>1206.1629914585394</v>
      </c>
      <c r="AK46" s="143" cm="1">
        <f t="array" ref="AK46">SUMPRODUCT(ISNUMBER(SEARCH('16 Water Heating Costs'!$E$42:$AE$42,'16 Water Heating Costs'!Y33)) *'16 Water Heating Costs'!$E$46:$AE$46)</f>
        <v>1206.1629914585394</v>
      </c>
      <c r="AL46" s="150" cm="1">
        <f t="array" ref="AL46">SUMPRODUCT(ISNUMBER(SEARCH('16 Water Heating Costs'!$E$42:$AE$42,'16 Water Heating Costs'!Z33)) *'16 Water Heating Costs'!$E$46:$AE$46)</f>
        <v>936.65760173061017</v>
      </c>
    </row>
    <row r="47" spans="1:38" ht="199.9" customHeight="1" x14ac:dyDescent="0.25">
      <c r="B47" s="1105"/>
      <c r="C47" s="152" t="s">
        <v>244</v>
      </c>
      <c r="D47" s="142"/>
      <c r="E47" s="142"/>
      <c r="F47" s="142"/>
      <c r="G47" s="142"/>
      <c r="H47" s="144"/>
      <c r="I47"/>
      <c r="P47" s="5"/>
      <c r="Q47" s="1105"/>
      <c r="R47" s="152" t="s">
        <v>244</v>
      </c>
      <c r="S47" s="142"/>
      <c r="T47" s="142"/>
      <c r="U47" s="142"/>
      <c r="V47" s="142"/>
      <c r="W47" s="144"/>
      <c r="X47"/>
      <c r="Y47" s="5"/>
      <c r="Z47" s="5"/>
      <c r="AA47" s="5"/>
      <c r="AB47" s="5"/>
      <c r="AC47" s="5"/>
      <c r="AD47" s="5"/>
      <c r="AE47" s="5"/>
      <c r="AF47" s="1119"/>
      <c r="AG47" s="152" t="s">
        <v>244</v>
      </c>
      <c r="AH47" s="142"/>
      <c r="AI47" s="142"/>
      <c r="AJ47" s="142"/>
      <c r="AK47" s="142"/>
      <c r="AL47" s="144"/>
    </row>
    <row r="48" spans="1:38" ht="199.9" customHeight="1" x14ac:dyDescent="0.25">
      <c r="B48" s="1105"/>
      <c r="C48" s="152" t="s">
        <v>86</v>
      </c>
      <c r="D48" s="143" cm="1">
        <f t="array" ref="D48">SUMPRODUCT(ISNUMBER(SEARCH('16 Water Heating Costs'!$E$42:$AE$42,'16 Water Heating Costs'!F35)) *'16 Water Heating Costs'!$E$46:$AE$46)</f>
        <v>4284.6539771338266</v>
      </c>
      <c r="E48" s="143" cm="1">
        <f t="array" ref="E48">SUMPRODUCT(ISNUMBER(SEARCH('16 Water Heating Costs'!$E$42:$AE$42,'16 Water Heating Costs'!G35)) *'16 Water Heating Costs'!$E$46:$AE$46)</f>
        <v>2735.5232468321265</v>
      </c>
      <c r="F48" s="142"/>
      <c r="G48" s="143" cm="1">
        <f t="array" ref="G48">SUMPRODUCT(ISNUMBER(SEARCH('16 Water Heating Costs'!$E$42:$AE$42,'16 Water Heating Costs'!I35)) *'16 Water Heating Costs'!$E$46:$AE$46)</f>
        <v>3764.2541215125557</v>
      </c>
      <c r="H48" s="150" cm="1">
        <f t="array" ref="H48">SUMPRODUCT(ISNUMBER(SEARCH('16 Water Heating Costs'!$E$42:$AE$42,'16 Water Heating Costs'!J35)) *'16 Water Heating Costs'!$E$46:$AE$46)</f>
        <v>4284.6539771338266</v>
      </c>
      <c r="I48"/>
      <c r="P48" s="5"/>
      <c r="Q48" s="1105"/>
      <c r="R48" s="152" t="s">
        <v>86</v>
      </c>
      <c r="S48" s="143" cm="1">
        <f t="array" ref="S48">SUMPRODUCT(ISNUMBER(SEARCH('16 Water Heating Costs'!$E$42:$AE$42,'16 Water Heating Costs'!N35)) *'16 Water Heating Costs'!$E$46:$AE$46)</f>
        <v>4714.1792203166369</v>
      </c>
      <c r="T48" s="143" cm="1">
        <f t="array" ref="T48">SUMPRODUCT(ISNUMBER(SEARCH('16 Water Heating Costs'!$E$42:$AE$42,'16 Water Heating Costs'!O35)) *'16 Water Heating Costs'!$E$46:$AE$46)</f>
        <v>3165.0484900149377</v>
      </c>
      <c r="U48" s="142"/>
      <c r="V48" s="143" cm="1">
        <f t="array" ref="V48">SUMPRODUCT(ISNUMBER(SEARCH('16 Water Heating Costs'!$E$42:$AE$42,'16 Water Heating Costs'!Q35)) *'16 Water Heating Costs'!$E$46:$AE$46)</f>
        <v>4193.779364695366</v>
      </c>
      <c r="W48" s="150" cm="1">
        <f t="array" ref="W48">SUMPRODUCT(ISNUMBER(SEARCH('16 Water Heating Costs'!$E$42:$AE$42,'16 Water Heating Costs'!R35)) *'16 Water Heating Costs'!$E$46:$AE$46)</f>
        <v>4714.1792203166369</v>
      </c>
      <c r="X48"/>
      <c r="Y48" s="5"/>
      <c r="Z48" s="5"/>
      <c r="AA48" s="5"/>
      <c r="AB48" s="5"/>
      <c r="AC48" s="5"/>
      <c r="AD48" s="5"/>
      <c r="AE48" s="5"/>
      <c r="AF48" s="1119"/>
      <c r="AG48" s="152" t="s">
        <v>86</v>
      </c>
      <c r="AH48" s="143" cm="1">
        <f t="array" ref="AH48">SUMPRODUCT(ISNUMBER(SEARCH('16 Water Heating Costs'!$E$42:$AE$42,'16 Water Heating Costs'!V35)) *'16 Water Heating Costs'!$E$46:$AE$46)</f>
        <v>3441.9218501860196</v>
      </c>
      <c r="AI48" s="143" cm="1">
        <f t="array" ref="AI48">SUMPRODUCT(ISNUMBER(SEARCH('16 Water Heating Costs'!$E$42:$AE$42,'16 Water Heating Costs'!W35)) *'16 Water Heating Costs'!$E$46:$AE$46)</f>
        <v>3165.0484900149377</v>
      </c>
      <c r="AJ48" s="142"/>
      <c r="AK48" s="143" cm="1">
        <f t="array" ref="AK48">SUMPRODUCT(ISNUMBER(SEARCH('16 Water Heating Costs'!$E$42:$AE$42,'16 Water Heating Costs'!Y35)) *'16 Water Heating Costs'!$E$46:$AE$46)</f>
        <v>2921.5219945647486</v>
      </c>
      <c r="AL48" s="150" cm="1">
        <f t="array" ref="AL48">SUMPRODUCT(ISNUMBER(SEARCH('16 Water Heating Costs'!$E$42:$AE$42,'16 Water Heating Costs'!Z35)) *'16 Water Heating Costs'!$E$46:$AE$46)</f>
        <v>3441.9218501860196</v>
      </c>
    </row>
    <row r="49" spans="2:38" ht="199.9" customHeight="1" x14ac:dyDescent="0.25">
      <c r="B49" s="1105"/>
      <c r="C49" s="152" t="s">
        <v>242</v>
      </c>
      <c r="D49" s="143" cm="1">
        <f t="array" ref="D49">SUMPRODUCT(ISNUMBER(SEARCH('16 Water Heating Costs'!$E$42:$AE$42,'16 Water Heating Costs'!F36)) *'16 Water Heating Costs'!$E$46:$AE$46)</f>
        <v>4284.6539771338266</v>
      </c>
      <c r="E49" s="143" cm="1">
        <f t="array" ref="E49">SUMPRODUCT(ISNUMBER(SEARCH('16 Water Heating Costs'!$E$42:$AE$42,'16 Water Heating Costs'!G36)) *'16 Water Heating Costs'!$E$46:$AE$46)</f>
        <v>3764.2541215125557</v>
      </c>
      <c r="F49" s="143" cm="1">
        <f t="array" ref="F49">SUMPRODUCT(ISNUMBER(SEARCH('16 Water Heating Costs'!$E$42:$AE$42,'16 Water Heating Costs'!H36)) *'16 Water Heating Costs'!$E$46:$AE$46)</f>
        <v>3764.2541215125557</v>
      </c>
      <c r="G49" s="142"/>
      <c r="H49" s="150" cm="1">
        <f t="array" ref="H49">SUMPRODUCT(ISNUMBER(SEARCH('16 Water Heating Costs'!$E$42:$AE$42,'16 Water Heating Costs'!J36)) *'16 Water Heating Costs'!$E$46:$AE$46)</f>
        <v>4284.6539771338266</v>
      </c>
      <c r="I49"/>
      <c r="P49" s="5"/>
      <c r="Q49" s="1105"/>
      <c r="R49" s="152" t="s">
        <v>242</v>
      </c>
      <c r="S49" s="143" cm="1">
        <f t="array" ref="S49">SUMPRODUCT(ISNUMBER(SEARCH('16 Water Heating Costs'!$E$42:$AE$42,'16 Water Heating Costs'!N36)) *'16 Water Heating Costs'!$E$46:$AE$46)</f>
        <v>4714.1792203166369</v>
      </c>
      <c r="T49" s="143" cm="1">
        <f t="array" ref="T49">SUMPRODUCT(ISNUMBER(SEARCH('16 Water Heating Costs'!$E$42:$AE$42,'16 Water Heating Costs'!O36)) *'16 Water Heating Costs'!$E$46:$AE$46)</f>
        <v>4193.779364695366</v>
      </c>
      <c r="U49" s="143" cm="1">
        <f t="array" ref="U49">SUMPRODUCT(ISNUMBER(SEARCH('16 Water Heating Costs'!$E$42:$AE$42,'16 Water Heating Costs'!P36)) *'16 Water Heating Costs'!$E$46:$AE$46)</f>
        <v>4193.779364695366</v>
      </c>
      <c r="V49" s="142"/>
      <c r="W49" s="150" cm="1">
        <f t="array" ref="W49">SUMPRODUCT(ISNUMBER(SEARCH('16 Water Heating Costs'!$E$42:$AE$42,'16 Water Heating Costs'!R36)) *'16 Water Heating Costs'!$E$46:$AE$46)</f>
        <v>4714.1792203166369</v>
      </c>
      <c r="X49"/>
      <c r="Y49" s="5"/>
      <c r="Z49" s="5"/>
      <c r="AA49" s="5"/>
      <c r="AB49" s="5"/>
      <c r="AC49" s="5"/>
      <c r="AD49" s="5"/>
      <c r="AE49" s="5"/>
      <c r="AF49" s="1119"/>
      <c r="AG49" s="152" t="s">
        <v>242</v>
      </c>
      <c r="AH49" s="143" cm="1">
        <f t="array" ref="AH49">SUMPRODUCT(ISNUMBER(SEARCH('16 Water Heating Costs'!$E$42:$AE$42,'16 Water Heating Costs'!V36)) *'16 Water Heating Costs'!$E$46:$AE$46)</f>
        <v>3441.9218501860196</v>
      </c>
      <c r="AI49" s="143" cm="1">
        <f t="array" ref="AI49">SUMPRODUCT(ISNUMBER(SEARCH('16 Water Heating Costs'!$E$42:$AE$42,'16 Water Heating Costs'!W36)) *'16 Water Heating Costs'!$E$46:$AE$46)</f>
        <v>2921.5219945647486</v>
      </c>
      <c r="AJ49" s="143" cm="1">
        <f t="array" ref="AJ49">SUMPRODUCT(ISNUMBER(SEARCH('16 Water Heating Costs'!$E$42:$AE$42,'16 Water Heating Costs'!X36)) *'16 Water Heating Costs'!$E$46:$AE$46)</f>
        <v>2921.5219945647486</v>
      </c>
      <c r="AK49" s="142"/>
      <c r="AL49" s="150" cm="1">
        <f t="array" ref="AL49">SUMPRODUCT(ISNUMBER(SEARCH('16 Water Heating Costs'!$E$42:$AE$42,'16 Water Heating Costs'!Z36)) *'16 Water Heating Costs'!$E$46:$AE$46)</f>
        <v>3441.9218501860196</v>
      </c>
    </row>
    <row r="50" spans="2:38" ht="199.9" customHeight="1" thickBot="1" x14ac:dyDescent="0.3">
      <c r="B50" s="1106"/>
      <c r="C50" s="153" t="s">
        <v>172</v>
      </c>
      <c r="D50" s="145"/>
      <c r="E50" s="145"/>
      <c r="F50" s="145"/>
      <c r="G50" s="145"/>
      <c r="H50" s="426"/>
      <c r="I50"/>
      <c r="P50" s="5"/>
      <c r="Q50" s="1106"/>
      <c r="R50" s="153" t="s">
        <v>172</v>
      </c>
      <c r="S50" s="145"/>
      <c r="T50" s="145"/>
      <c r="U50" s="145"/>
      <c r="V50" s="145"/>
      <c r="W50" s="426"/>
      <c r="X50"/>
      <c r="Y50" s="5"/>
      <c r="Z50" s="5"/>
      <c r="AA50" s="5"/>
      <c r="AB50" s="5"/>
      <c r="AC50" s="5"/>
      <c r="AD50" s="5"/>
      <c r="AE50" s="5"/>
      <c r="AF50" s="1120"/>
      <c r="AG50" s="153" t="s">
        <v>172</v>
      </c>
      <c r="AH50" s="145"/>
      <c r="AI50" s="145"/>
      <c r="AJ50" s="145"/>
      <c r="AK50" s="145"/>
      <c r="AL50" s="426"/>
    </row>
    <row r="51" spans="2:38" ht="79.900000000000006" customHeight="1" thickBot="1" x14ac:dyDescent="0.3">
      <c r="B51" s="673"/>
      <c r="C51" s="673"/>
      <c r="D51" s="673"/>
      <c r="E51" s="673"/>
      <c r="F51" s="673"/>
      <c r="G51" s="673"/>
      <c r="H51" s="673"/>
      <c r="I51" s="673"/>
      <c r="J51" s="673"/>
      <c r="K51" s="673"/>
      <c r="L51" s="673"/>
      <c r="M51" s="673"/>
      <c r="N51" s="679"/>
      <c r="P51" s="5"/>
      <c r="Q51" s="673"/>
      <c r="R51" s="673"/>
      <c r="S51" s="673"/>
      <c r="T51" s="673"/>
      <c r="U51" s="673"/>
      <c r="V51" s="673"/>
      <c r="W51" s="673"/>
      <c r="X51" s="673"/>
      <c r="Y51" s="673"/>
      <c r="Z51" s="673"/>
      <c r="AA51" s="673"/>
      <c r="AB51" s="673"/>
      <c r="AC51" s="5"/>
      <c r="AD51" s="5"/>
      <c r="AE51" s="5"/>
      <c r="AF51" s="673"/>
      <c r="AG51" s="673"/>
      <c r="AH51" s="673"/>
      <c r="AI51" s="673"/>
      <c r="AJ51" s="673"/>
      <c r="AK51" s="673"/>
      <c r="AL51" s="673"/>
    </row>
    <row r="52" spans="2:38" ht="175.15" customHeight="1" thickBot="1" x14ac:dyDescent="0.3">
      <c r="B52" s="1135" t="s">
        <v>1074</v>
      </c>
      <c r="C52" s="1136"/>
      <c r="D52" s="1136"/>
      <c r="E52" s="1136"/>
      <c r="F52" s="1136"/>
      <c r="G52" s="1137"/>
      <c r="H52" s="364"/>
      <c r="I52" s="131"/>
      <c r="J52" s="146"/>
      <c r="K52" s="146"/>
      <c r="L52" s="146"/>
      <c r="M52" s="146"/>
      <c r="N52" s="156"/>
      <c r="O52" s="72"/>
    </row>
    <row r="53" spans="2:38" ht="79.900000000000006" customHeight="1" thickBot="1" x14ac:dyDescent="0.3">
      <c r="B53" s="1140" t="s">
        <v>226</v>
      </c>
      <c r="C53" s="1141"/>
      <c r="D53" s="1138" t="s">
        <v>282</v>
      </c>
      <c r="E53" s="1138"/>
      <c r="F53" s="1138"/>
      <c r="G53" s="1139"/>
      <c r="H53" s="183"/>
      <c r="I53" s="146"/>
      <c r="J53" s="146"/>
      <c r="K53" s="146"/>
      <c r="L53" s="146"/>
      <c r="M53" s="156"/>
      <c r="N53" s="72"/>
      <c r="O53" s="57"/>
    </row>
    <row r="54" spans="2:38" ht="150" customHeight="1" thickBot="1" x14ac:dyDescent="0.3">
      <c r="B54" s="1140"/>
      <c r="C54" s="1141"/>
      <c r="D54" s="147" t="s">
        <v>246</v>
      </c>
      <c r="E54" s="147" t="s">
        <v>594</v>
      </c>
      <c r="F54" s="147" t="s">
        <v>86</v>
      </c>
      <c r="G54" s="148" t="s">
        <v>242</v>
      </c>
      <c r="H54" s="131"/>
      <c r="I54" s="146"/>
      <c r="J54" s="146"/>
      <c r="K54" s="146"/>
      <c r="L54" s="146"/>
      <c r="M54" s="146"/>
      <c r="N54" s="72"/>
      <c r="O54" s="57"/>
    </row>
    <row r="55" spans="2:38" ht="199.9" customHeight="1" thickBot="1" x14ac:dyDescent="0.3">
      <c r="B55" s="1132" t="s">
        <v>227</v>
      </c>
      <c r="C55" s="147" t="s">
        <v>246</v>
      </c>
      <c r="D55" s="142"/>
      <c r="E55" s="143" cm="1">
        <f t="array" ref="E55">SUMPRODUCT(ISNUMBER(SEARCH('18 Clothes Drying Costs'!$D$16:$N$16,'18 Clothes Drying Costs'!G10)) *'18 Clothes Drying Costs'!$D$20:$N$20)</f>
        <v>734.32804848899173</v>
      </c>
      <c r="F55" s="143" cm="1">
        <f t="array" ref="F55">SUMPRODUCT(ISNUMBER(SEARCH('18 Clothes Drying Costs'!$D$16:$M$16,'18 Clothes Drying Costs'!H10)) *'18 Clothes Drying Costs'!$D$20:$M$20)</f>
        <v>1112.2344267734231</v>
      </c>
      <c r="G55" s="150" cm="1">
        <f t="array" ref="G55">SUMPRODUCT(ISNUMBER(SEARCH('18 Clothes Drying Costs'!$D$16:$M$16,'18 Clothes Drying Costs'!I10)) *'18 Clothes Drying Costs'!$D$20:$M$20)</f>
        <v>1112.2344267734231</v>
      </c>
      <c r="H55" s="131"/>
      <c r="I55" s="146"/>
      <c r="J55" s="146"/>
      <c r="K55" s="146"/>
      <c r="L55" s="146"/>
      <c r="M55" s="146"/>
      <c r="N55" s="72"/>
      <c r="O55" s="57"/>
    </row>
    <row r="56" spans="2:38" ht="199.9" customHeight="1" thickBot="1" x14ac:dyDescent="0.3">
      <c r="B56" s="1132"/>
      <c r="C56" s="147" t="s">
        <v>594</v>
      </c>
      <c r="D56" s="143" cm="1">
        <f t="array" ref="D56">SUMPRODUCT(ISNUMBER(SEARCH('18 Clothes Drying Costs'!$D$16:$M$16,'18 Clothes Drying Costs'!F11)) *'18 Clothes Drying Costs'!$D$20:$M$20)</f>
        <v>100</v>
      </c>
      <c r="E56" s="142"/>
      <c r="F56" s="143" cm="1">
        <f t="array" ref="F56">SUMPRODUCT(ISNUMBER(SEARCH('18 Clothes Drying Costs'!$D$16:$M$16,'18 Clothes Drying Costs'!H11)) *'18 Clothes Drying Costs'!$D$20:$M$20)</f>
        <v>1212.2344267734231</v>
      </c>
      <c r="G56" s="150" cm="1">
        <f t="array" ref="G56">SUMPRODUCT(ISNUMBER(SEARCH('18 Clothes Drying Costs'!$D$16:$M$16,'18 Clothes Drying Costs'!I11)) *'18 Clothes Drying Costs'!$D$20:$M$20)</f>
        <v>1262.2344267734231</v>
      </c>
      <c r="H56" s="131"/>
      <c r="I56" s="146"/>
      <c r="J56" s="146"/>
      <c r="K56" s="146"/>
      <c r="L56" s="146"/>
      <c r="M56" s="146"/>
      <c r="N56" s="72"/>
      <c r="O56" s="57"/>
    </row>
    <row r="57" spans="2:38" ht="199.9" customHeight="1" thickBot="1" x14ac:dyDescent="0.3">
      <c r="B57" s="1132"/>
      <c r="C57" s="147" t="s">
        <v>86</v>
      </c>
      <c r="D57" s="143" cm="1">
        <f t="array" ref="D57">SUMPRODUCT(ISNUMBER(SEARCH('18 Clothes Drying Costs'!$D$16:$M$16,'18 Clothes Drying Costs'!F12)) *'18 Clothes Drying Costs'!$D$20:$M$20)</f>
        <v>1043.1786983170489</v>
      </c>
      <c r="E57" s="143" cm="1">
        <f t="array" ref="E57">SUMPRODUCT(ISNUMBER(SEARCH('18 Clothes Drying Costs'!$D$16:$N$16,'18 Clothes Drying Costs'!G12)) *'18 Clothes Drying Costs'!$D$20:$N$20)</f>
        <v>1727.5067468060406</v>
      </c>
      <c r="F57" s="142"/>
      <c r="G57" s="150" cm="1">
        <f t="array" ref="G57">SUMPRODUCT(ISNUMBER(SEARCH('18 Clothes Drying Costs'!$D$16:$M$16,'18 Clothes Drying Costs'!I12)) *'18 Clothes Drying Costs'!$D$20:$M$20)</f>
        <v>1390.9740338125532</v>
      </c>
      <c r="H57" s="131"/>
      <c r="I57" s="146"/>
      <c r="J57" s="146"/>
      <c r="K57" s="146"/>
      <c r="L57" s="146"/>
      <c r="M57" s="146"/>
      <c r="N57" s="58"/>
      <c r="O57" s="57"/>
    </row>
    <row r="58" spans="2:38" ht="199.9" customHeight="1" thickBot="1" x14ac:dyDescent="0.3">
      <c r="B58" s="1133"/>
      <c r="C58" s="137" t="s">
        <v>242</v>
      </c>
      <c r="D58" s="354" cm="1">
        <f t="array" ref="D58">SUMPRODUCT(ISNUMBER(SEARCH('18 Clothes Drying Costs'!$D$16:$M$16,'18 Clothes Drying Costs'!F13)) *'18 Clothes Drying Costs'!$D$20:$M$20)</f>
        <v>1043.1786983170489</v>
      </c>
      <c r="E58" s="354" cm="1">
        <f t="array" ref="E58">SUMPRODUCT(ISNUMBER(SEARCH('18 Clothes Drying Costs'!$D$16:$N$16,'18 Clothes Drying Costs'!G13)) *'18 Clothes Drying Costs'!$D$20:$N$20)</f>
        <v>1777.5067468060406</v>
      </c>
      <c r="F58" s="354" cm="1">
        <f t="array" ref="F58">SUMPRODUCT(ISNUMBER(SEARCH('18 Clothes Drying Costs'!$D$16:$M$16,'18 Clothes Drying Costs'!H13)) *'18 Clothes Drying Costs'!$D$20:$M$20)</f>
        <v>1273.5863347016748</v>
      </c>
      <c r="G58" s="426"/>
      <c r="H58" s="58"/>
      <c r="I58" s="59"/>
      <c r="J58" s="59"/>
      <c r="K58" s="59"/>
      <c r="L58" s="59"/>
      <c r="M58" s="59"/>
      <c r="N58" s="57"/>
      <c r="O58" s="61"/>
      <c r="P58" s="61"/>
      <c r="Q58" s="61"/>
      <c r="R58" s="61"/>
      <c r="S58" s="61"/>
      <c r="T58" s="61"/>
      <c r="U58" s="61"/>
      <c r="V58" s="61"/>
      <c r="W58" s="61"/>
      <c r="X58" s="61"/>
      <c r="Y58" s="61"/>
      <c r="Z58" s="61"/>
      <c r="AA58" s="61"/>
      <c r="AB58" s="61"/>
      <c r="AC58" s="61"/>
      <c r="AD58" s="61"/>
      <c r="AE58" s="61"/>
      <c r="AF58" s="61"/>
      <c r="AG58" s="61"/>
      <c r="AH58" s="61"/>
      <c r="AI58" s="61"/>
      <c r="AJ58" s="61"/>
      <c r="AK58" s="61"/>
      <c r="AL58" s="61"/>
    </row>
    <row r="59" spans="2:38" ht="79.900000000000006" customHeight="1" thickBot="1" x14ac:dyDescent="0.3">
      <c r="B59" s="133"/>
      <c r="C59" s="157"/>
      <c r="D59" s="157"/>
      <c r="E59" s="157"/>
      <c r="F59" s="157"/>
      <c r="G59" s="157"/>
      <c r="H59" s="59"/>
      <c r="I59" s="57"/>
      <c r="J59" s="57"/>
      <c r="K59" s="57"/>
      <c r="L59" s="57"/>
      <c r="M59" s="57"/>
      <c r="N59" s="57"/>
      <c r="O59" s="57"/>
    </row>
    <row r="60" spans="2:38" ht="175.15" customHeight="1" x14ac:dyDescent="0.25">
      <c r="B60" s="1107" t="s">
        <v>546</v>
      </c>
      <c r="C60" s="1108"/>
      <c r="D60" s="1108"/>
      <c r="E60" s="1108"/>
      <c r="F60" s="1109"/>
      <c r="G60" s="365"/>
      <c r="H60" s="72"/>
      <c r="I60" s="57"/>
      <c r="J60" s="57"/>
      <c r="K60" s="57"/>
      <c r="L60" s="57"/>
      <c r="M60" s="57"/>
      <c r="N60" s="57"/>
      <c r="O60" s="57"/>
    </row>
    <row r="61" spans="2:38" ht="79.900000000000006" customHeight="1" x14ac:dyDescent="0.25">
      <c r="B61" s="1140" t="s">
        <v>287</v>
      </c>
      <c r="C61" s="1141"/>
      <c r="D61" s="1138" t="s">
        <v>282</v>
      </c>
      <c r="E61" s="1138"/>
      <c r="F61" s="1139"/>
      <c r="G61" s="151"/>
      <c r="H61" s="57"/>
      <c r="I61" s="57"/>
      <c r="J61" s="57"/>
      <c r="K61" s="57"/>
      <c r="L61" s="57"/>
      <c r="M61" s="57"/>
      <c r="N61" s="57"/>
      <c r="O61" s="57"/>
    </row>
    <row r="62" spans="2:38" ht="199.9" customHeight="1" x14ac:dyDescent="0.25">
      <c r="B62" s="1140"/>
      <c r="C62" s="1141"/>
      <c r="D62" s="147" t="s">
        <v>246</v>
      </c>
      <c r="E62" s="147" t="s">
        <v>242</v>
      </c>
      <c r="F62" s="148" t="s">
        <v>86</v>
      </c>
      <c r="G62" s="72"/>
      <c r="H62" s="57"/>
      <c r="I62" s="57"/>
      <c r="J62" s="57"/>
      <c r="K62" s="57"/>
      <c r="L62" s="57"/>
      <c r="M62" s="57"/>
      <c r="N62" s="57"/>
      <c r="O62" s="57"/>
    </row>
    <row r="63" spans="2:38" ht="199.9" customHeight="1" x14ac:dyDescent="0.25">
      <c r="B63" s="1132" t="s">
        <v>227</v>
      </c>
      <c r="C63" s="147" t="s">
        <v>246</v>
      </c>
      <c r="D63" s="142"/>
      <c r="E63" s="143" cm="1">
        <f t="array" ref="E63">SUMPRODUCT(ISNUMBER(SEARCH('17 Cooking Costs'!$E$18:$J$18, '17 Cooking Costs'!H12)) *'17 Cooking Costs'!$E$22:$J$22)</f>
        <v>986.99785138336301</v>
      </c>
      <c r="F63" s="150" cm="1">
        <f t="array" ref="F63">SUMPRODUCT(ISNUMBER(SEARCH('17 Cooking Costs'!$E$18:$J$18, '17 Cooking Costs'!I12)) *'17 Cooking Costs'!$E$22:$J$22)</f>
        <v>986.99785138336301</v>
      </c>
      <c r="G63" s="72"/>
      <c r="H63" s="57"/>
      <c r="I63" s="57"/>
      <c r="J63" s="57"/>
      <c r="K63" s="57"/>
      <c r="L63" s="57"/>
      <c r="M63" s="57"/>
      <c r="N63" s="57"/>
      <c r="O63" s="57"/>
    </row>
    <row r="64" spans="2:38" ht="199.9" customHeight="1" x14ac:dyDescent="0.25">
      <c r="B64" s="1132"/>
      <c r="C64" s="147" t="s">
        <v>242</v>
      </c>
      <c r="D64" s="143" cm="1">
        <f t="array" ref="D64">SUMPRODUCT(ISNUMBER(SEARCH('17 Cooking Costs'!$E$18:$J$18, '17 Cooking Costs'!G13)) *'17 Cooking Costs'!$E$22:$J$22)</f>
        <v>1043.1786983170489</v>
      </c>
      <c r="E64" s="142"/>
      <c r="F64" s="150" cm="1">
        <f t="array" ref="F64">SUMPRODUCT(ISNUMBER(SEARCH('17 Cooking Costs'!$E$18:$J$18, '17 Cooking Costs'!I13)) *'17 Cooking Costs'!$E$22:$J$22)</f>
        <v>1250.3442656277132</v>
      </c>
      <c r="G64" s="72"/>
      <c r="H64" s="57"/>
      <c r="I64" s="57"/>
      <c r="J64" s="57"/>
      <c r="K64" s="57"/>
      <c r="L64" s="57"/>
      <c r="M64" s="57"/>
      <c r="N64" s="57"/>
      <c r="O64" s="57"/>
    </row>
    <row r="65" spans="2:15" ht="199.9" customHeight="1" thickBot="1" x14ac:dyDescent="0.3">
      <c r="B65" s="1133"/>
      <c r="C65" s="137" t="s">
        <v>86</v>
      </c>
      <c r="D65" s="354" cm="1">
        <f t="array" ref="D65">SUMPRODUCT(ISNUMBER(SEARCH('17 Cooking Costs'!$E$18:$J$18, '17 Cooking Costs'!G14)) *'17 Cooking Costs'!$E$22:$J$22)</f>
        <v>1043.1786983170489</v>
      </c>
      <c r="E65" s="354" cm="1">
        <f t="array" ref="E65">SUMPRODUCT(ISNUMBER(SEARCH('17 Cooking Costs'!$E$18:$J$18, '17 Cooking Costs'!H14)) *'17 Cooking Costs'!$E$22:$J$22)</f>
        <v>1250.3442656277132</v>
      </c>
      <c r="F65" s="426"/>
      <c r="G65" s="72"/>
      <c r="H65" s="57"/>
      <c r="I65" s="57"/>
      <c r="J65" s="57"/>
      <c r="K65" s="57"/>
      <c r="L65" s="57"/>
      <c r="M65" s="57"/>
      <c r="N65" s="57"/>
      <c r="O65" s="57"/>
    </row>
    <row r="66" spans="2:15" x14ac:dyDescent="0.25">
      <c r="B66" s="151"/>
      <c r="C66" s="59"/>
      <c r="D66" s="59"/>
      <c r="E66" s="59"/>
      <c r="F66" s="59"/>
      <c r="G66" s="59"/>
      <c r="H66" s="57"/>
      <c r="I66" s="57"/>
      <c r="J66" s="57"/>
      <c r="K66" s="57"/>
      <c r="L66" s="57"/>
      <c r="M66" s="57"/>
      <c r="N66" s="57"/>
      <c r="O66" s="57"/>
    </row>
    <row r="67" spans="2:15" x14ac:dyDescent="0.25">
      <c r="C67" s="57"/>
      <c r="D67" s="57"/>
      <c r="E67" s="57"/>
      <c r="F67" s="57"/>
      <c r="G67" s="57"/>
      <c r="H67" s="57"/>
      <c r="I67" s="57"/>
      <c r="J67" s="57"/>
      <c r="K67" s="57"/>
      <c r="L67" s="57"/>
      <c r="M67" s="57"/>
      <c r="N67" s="57"/>
      <c r="O67" s="57"/>
    </row>
    <row r="68" spans="2:15" x14ac:dyDescent="0.25">
      <c r="C68" s="57"/>
      <c r="D68" s="57"/>
      <c r="E68" s="57"/>
      <c r="F68" s="57"/>
      <c r="G68" s="57"/>
      <c r="H68" s="57"/>
      <c r="I68" s="57"/>
      <c r="J68" s="57"/>
      <c r="K68" s="57"/>
      <c r="L68" s="57"/>
      <c r="M68" s="57"/>
      <c r="N68" s="57"/>
      <c r="O68" s="57"/>
    </row>
    <row r="69" spans="2:15" x14ac:dyDescent="0.25">
      <c r="C69" s="57"/>
      <c r="D69" s="57"/>
      <c r="E69" s="57"/>
      <c r="F69" s="57"/>
      <c r="G69" s="57"/>
      <c r="H69" s="57"/>
      <c r="I69" s="57"/>
      <c r="J69" s="57"/>
      <c r="K69" s="57"/>
      <c r="L69" s="57"/>
      <c r="M69" s="57"/>
      <c r="N69" s="57"/>
      <c r="O69" s="57"/>
    </row>
    <row r="70" spans="2:15" x14ac:dyDescent="0.25">
      <c r="C70" s="57"/>
      <c r="D70" s="57"/>
      <c r="E70" s="57"/>
      <c r="F70" s="57"/>
      <c r="G70" s="57"/>
      <c r="H70" s="57"/>
      <c r="I70" s="57"/>
      <c r="J70" s="57"/>
      <c r="K70" s="57"/>
      <c r="L70" s="57"/>
      <c r="M70" s="57"/>
      <c r="N70" s="57"/>
      <c r="O70" s="57"/>
    </row>
    <row r="71" spans="2:15" x14ac:dyDescent="0.25">
      <c r="C71" s="57"/>
      <c r="D71" s="57"/>
      <c r="E71" s="57"/>
      <c r="F71" s="57"/>
      <c r="G71" s="57"/>
      <c r="H71" s="57"/>
      <c r="I71" s="57"/>
      <c r="J71" s="57"/>
      <c r="K71" s="57"/>
      <c r="L71" s="57"/>
      <c r="M71" s="57"/>
      <c r="N71" s="57"/>
      <c r="O71" s="57"/>
    </row>
    <row r="72" spans="2:15" x14ac:dyDescent="0.25">
      <c r="C72" s="57"/>
      <c r="D72" s="57"/>
      <c r="E72" s="57"/>
      <c r="F72" s="57"/>
      <c r="G72" s="57"/>
      <c r="H72" s="57"/>
      <c r="I72" s="57"/>
      <c r="J72" s="57"/>
      <c r="K72" s="57"/>
      <c r="L72" s="57"/>
      <c r="M72" s="57"/>
      <c r="N72" s="57"/>
      <c r="O72" s="57"/>
    </row>
    <row r="73" spans="2:15" x14ac:dyDescent="0.25">
      <c r="C73" s="57"/>
      <c r="D73" s="57"/>
      <c r="E73" s="57"/>
      <c r="F73" s="57"/>
      <c r="G73" s="57"/>
      <c r="H73" s="57"/>
      <c r="I73" s="57"/>
      <c r="J73" s="57"/>
      <c r="K73" s="57"/>
      <c r="L73" s="57"/>
      <c r="M73" s="57"/>
      <c r="N73" s="57"/>
      <c r="O73" s="57"/>
    </row>
  </sheetData>
  <mergeCells count="88">
    <mergeCell ref="B63:B65"/>
    <mergeCell ref="B52:G52"/>
    <mergeCell ref="B53:C54"/>
    <mergeCell ref="D53:G53"/>
    <mergeCell ref="B55:B58"/>
    <mergeCell ref="B60:F60"/>
    <mergeCell ref="B61:C62"/>
    <mergeCell ref="D61:F61"/>
    <mergeCell ref="AH7:AS7"/>
    <mergeCell ref="B9:B20"/>
    <mergeCell ref="Q9:Q20"/>
    <mergeCell ref="AF9:AF20"/>
    <mergeCell ref="B7:C8"/>
    <mergeCell ref="D7:O7"/>
    <mergeCell ref="Q7:R8"/>
    <mergeCell ref="S7:AD7"/>
    <mergeCell ref="AF7:AG8"/>
    <mergeCell ref="L1:L3"/>
    <mergeCell ref="C5:O5"/>
    <mergeCell ref="B6:O6"/>
    <mergeCell ref="Q6:AD6"/>
    <mergeCell ref="AF6:AS6"/>
    <mergeCell ref="B22:H22"/>
    <mergeCell ref="Q22:W22"/>
    <mergeCell ref="AF22:AL22"/>
    <mergeCell ref="D23:H23"/>
    <mergeCell ref="S23:W23"/>
    <mergeCell ref="AH23:AL23"/>
    <mergeCell ref="B23:C25"/>
    <mergeCell ref="Q23:R25"/>
    <mergeCell ref="AF23:AG25"/>
    <mergeCell ref="T24:T25"/>
    <mergeCell ref="U24:U25"/>
    <mergeCell ref="V24:V25"/>
    <mergeCell ref="W24:W25"/>
    <mergeCell ref="B32:H32"/>
    <mergeCell ref="Q32:W32"/>
    <mergeCell ref="AF32:AL32"/>
    <mergeCell ref="D24:D25"/>
    <mergeCell ref="E24:E25"/>
    <mergeCell ref="F24:F25"/>
    <mergeCell ref="G24:G25"/>
    <mergeCell ref="H24:H25"/>
    <mergeCell ref="S24:S25"/>
    <mergeCell ref="B26:B30"/>
    <mergeCell ref="Q26:Q30"/>
    <mergeCell ref="AF26:AF30"/>
    <mergeCell ref="B33:C35"/>
    <mergeCell ref="D33:H33"/>
    <mergeCell ref="Q33:R35"/>
    <mergeCell ref="S33:W33"/>
    <mergeCell ref="AF33:AG35"/>
    <mergeCell ref="AH33:AL33"/>
    <mergeCell ref="D34:D35"/>
    <mergeCell ref="E34:E35"/>
    <mergeCell ref="F34:F35"/>
    <mergeCell ref="G34:G35"/>
    <mergeCell ref="H34:H35"/>
    <mergeCell ref="S34:S35"/>
    <mergeCell ref="T34:T35"/>
    <mergeCell ref="U34:U35"/>
    <mergeCell ref="V34:V35"/>
    <mergeCell ref="W34:W35"/>
    <mergeCell ref="Q43:R45"/>
    <mergeCell ref="S43:W43"/>
    <mergeCell ref="AF43:AG45"/>
    <mergeCell ref="B36:B40"/>
    <mergeCell ref="Q36:Q40"/>
    <mergeCell ref="AF36:AF40"/>
    <mergeCell ref="B42:H42"/>
    <mergeCell ref="Q42:W42"/>
    <mergeCell ref="AF42:AL42"/>
    <mergeCell ref="B46:B50"/>
    <mergeCell ref="Q46:Q50"/>
    <mergeCell ref="AF46:AF50"/>
    <mergeCell ref="AH43:AL43"/>
    <mergeCell ref="D44:D45"/>
    <mergeCell ref="E44:E45"/>
    <mergeCell ref="F44:F45"/>
    <mergeCell ref="G44:G45"/>
    <mergeCell ref="H44:H45"/>
    <mergeCell ref="S44:S45"/>
    <mergeCell ref="T44:T45"/>
    <mergeCell ref="U44:U45"/>
    <mergeCell ref="V44:V45"/>
    <mergeCell ref="W44:W45"/>
    <mergeCell ref="B43:C45"/>
    <mergeCell ref="D43:H43"/>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021E6-87F4-4FD0-966E-32D1DC91905D}">
  <sheetPr>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26.1"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1175</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Costs'!$C$12:$AW$12)</f>
        <v>4985.5111255107176</v>
      </c>
      <c r="G10" s="140" cm="1">
        <f t="array" ref="G10">SUMPRODUCT(ISNUMBER( SEARCH('13 Space Heating Costs'!$C$7:$AW$7,'12 Space Heating Subcomponents'!I12)) *'13 Space Heating Costs'!$C$12:$AW$12)</f>
        <v>6387.9148057243792</v>
      </c>
      <c r="H10" s="140" cm="1">
        <f t="array" ref="H10">SUMPRODUCT(ISNUMBER( SEARCH('13 Space Heating Costs'!$C$7:$AW$7,'12 Space Heating Subcomponents'!J12)) *'13 Space Heating Costs'!$C$12:$AW$12)</f>
        <v>8429.0028583469248</v>
      </c>
      <c r="I10" s="140" cm="1">
        <f t="array" ref="I10">SUMPRODUCT(ISNUMBER( SEARCH('13 Space Heating Costs'!$C$7:$AW$7,'12 Space Heating Subcomponents'!K12)) *'13 Space Heating Costs'!$C$12:$AW$12)</f>
        <v>4136.4307317569019</v>
      </c>
      <c r="J10" s="140" cm="1">
        <f t="array" ref="J10">SUMPRODUCT(ISNUMBER( SEARCH('13 Space Heating Costs'!$C$7:$AW$7,'12 Space Heating Subcomponents'!L12)) *'13 Space Heating Costs'!$C$12:$AW$12)</f>
        <v>7525.4934498565062</v>
      </c>
      <c r="K10" s="140" cm="1">
        <f t="array" ref="K10">SUMPRODUCT(ISNUMBER( SEARCH('13 Space Heating Costs'!$C$7:$AW$7,'12 Space Heating Subcomponents'!M12)) *'13 Space Heating Costs'!$C$12:$AW$12)</f>
        <v>4735.1498938595141</v>
      </c>
      <c r="L10" s="140" cm="1">
        <f t="array" ref="L10">SUMPRODUCT(ISNUMBER( SEARCH('13 Space Heating Costs'!$C$7:$AW$7,'12 Space Heating Subcomponents'!N12)) *'13 Space Heating Costs'!$C$12:$AW$12)</f>
        <v>8541.9553000625347</v>
      </c>
      <c r="M10" s="140" cm="1">
        <f t="array" ref="M10">SUMPRODUCT(ISNUMBER( SEARCH('13 Space Heating Costs'!$C$7:$AW$7,'12 Space Heating Subcomponents'!O12)) *'13 Space Heating Costs'!$C$12:$AW$12)</f>
        <v>4735.1498938595141</v>
      </c>
      <c r="N10" s="140" cm="1">
        <f t="array" ref="N10">SUMPRODUCT(ISNUMBER( SEARCH('13 Space Heating Costs'!$C$7:$AW$7,'12 Space Heating Subcomponents'!P12)) *'13 Space Heating Costs'!$C$12:$AW$12)</f>
        <v>4604.5080223545092</v>
      </c>
      <c r="O10" s="402" cm="1">
        <f t="array" ref="O10">SUMPRODUCT(ISNUMBER( SEARCH('13 Space Heating Costs'!$C$7:$AW$7,'12 Space Heating Subcomponents'!Q12)) *'13 Space Heating Costs'!$C$12:$AW$12)</f>
        <v>10627.947289842774</v>
      </c>
      <c r="P10" s="72"/>
      <c r="Q10" s="1105"/>
      <c r="R10" s="181" t="s">
        <v>242</v>
      </c>
      <c r="S10" s="181" t="s">
        <v>243</v>
      </c>
      <c r="T10" s="139"/>
      <c r="U10" s="140" cm="1">
        <f t="array" ref="U10">SUMPRODUCT(ISNUMBER( SEARCH('13 Space Heating Costs'!$C$7:$AW$7,'12 Space Heating Subcomponents'!H28)) *'13 Space Heating Costs'!$C$12:$AW$12)</f>
        <v>5513.5273082680778</v>
      </c>
      <c r="V10" s="140" cm="1">
        <f t="array" ref="V10">SUMPRODUCT(ISNUMBER( SEARCH('13 Space Heating Costs'!$C$7:$AW$7,'12 Space Heating Subcomponents'!I28)) *'13 Space Heating Costs'!$C$12:$AW$12)</f>
        <v>6915.9309884817394</v>
      </c>
      <c r="W10" s="140" cm="1">
        <f t="array" ref="W10">SUMPRODUCT(ISNUMBER( SEARCH('13 Space Heating Costs'!$C$7:$AW$7,'12 Space Heating Subcomponents'!J28)) *'13 Space Heating Costs'!$C$12:$AW$12)</f>
        <v>8957.019041104284</v>
      </c>
      <c r="X10" s="140" cm="1">
        <f t="array" ref="X10">SUMPRODUCT(ISNUMBER( SEARCH('13 Space Heating Costs'!$C$7:$AW$7,'12 Space Heating Subcomponents'!K28)) *'13 Space Heating Costs'!$C$12:$AW$12)</f>
        <v>4664.4469145142621</v>
      </c>
      <c r="Y10" s="140" cm="1">
        <f t="array" ref="Y10">SUMPRODUCT(ISNUMBER( SEARCH('13 Space Heating Costs'!$C$7:$AW$7,'12 Space Heating Subcomponents'!L28)) *'13 Space Heating Costs'!$C$12:$AW$12)</f>
        <v>8053.5096326138664</v>
      </c>
      <c r="Z10" s="140" cm="1">
        <f t="array" ref="Z10">SUMPRODUCT(ISNUMBER( SEARCH('13 Space Heating Costs'!$C$7:$AW$7,'12 Space Heating Subcomponents'!M28)) *'13 Space Heating Costs'!$C$12:$AW$12)</f>
        <v>5263.1660766168752</v>
      </c>
      <c r="AA10" s="140" cm="1">
        <f t="array" ref="AA10">SUMPRODUCT(ISNUMBER( SEARCH('13 Space Heating Costs'!$C$7:$AW$7,'12 Space Heating Subcomponents'!N28)) *'13 Space Heating Costs'!$C$12:$AW$12)</f>
        <v>9069.9714828198939</v>
      </c>
      <c r="AB10" s="140" cm="1">
        <f t="array" ref="AB10">SUMPRODUCT(ISNUMBER( SEARCH('13 Space Heating Costs'!$C$7:$AW$7,'12 Space Heating Subcomponents'!O28)) *'13 Space Heating Costs'!$C$12:$AW$12)</f>
        <v>5263.1660766168752</v>
      </c>
      <c r="AC10" s="140" cm="1">
        <f t="array" ref="AC10">SUMPRODUCT(ISNUMBER( SEARCH('13 Space Heating Costs'!$C$7:$AW$7,'12 Space Heating Subcomponents'!P28)) *'13 Space Heating Costs'!$C$12:$AW$12)</f>
        <v>5132.5242051118694</v>
      </c>
      <c r="AD10" s="402" cm="1">
        <f t="array" ref="AD10">SUMPRODUCT(ISNUMBER( SEARCH('13 Space Heating Costs'!$C$7:$AW$7,'12 Space Heating Subcomponents'!Q28)) *'13 Space Heating Costs'!$C$12:$AW$12)</f>
        <v>11155.963472600135</v>
      </c>
      <c r="AE10" s="72"/>
      <c r="AF10" s="1105"/>
      <c r="AG10" s="181" t="s">
        <v>242</v>
      </c>
      <c r="AH10" s="181" t="s">
        <v>243</v>
      </c>
      <c r="AI10" s="139"/>
      <c r="AJ10" s="140" cm="1">
        <f t="array" ref="AJ10">SUMPRODUCT(ISNUMBER( SEARCH('13 Space Heating Costs'!$C$7:$AW$7,'12 Space Heating Subcomponents'!H44)) *'13 Space Heating Costs'!$C$12:$AW$12)</f>
        <v>4085.5073148286688</v>
      </c>
      <c r="AK10" s="140" cm="1">
        <f t="array" ref="AK10">SUMPRODUCT(ISNUMBER( SEARCH('13 Space Heating Costs'!$C$7:$AW$7,'12 Space Heating Subcomponents'!I44)) *'13 Space Heating Costs'!$C$12:$AW$12)</f>
        <v>5487.9109950423299</v>
      </c>
      <c r="AL10" s="140" cm="1">
        <f t="array" ref="AL10">SUMPRODUCT(ISNUMBER( SEARCH('13 Space Heating Costs'!$C$7:$AW$7,'12 Space Heating Subcomponents'!J44)) *'13 Space Heating Costs'!$C$12:$AW$12)</f>
        <v>7528.9990476648745</v>
      </c>
      <c r="AM10" s="140" cm="1">
        <f t="array" ref="AM10">SUMPRODUCT(ISNUMBER( SEARCH('13 Space Heating Costs'!$C$7:$AW$7,'12 Space Heating Subcomponents'!K44)) *'13 Space Heating Costs'!$C$12:$AW$12)</f>
        <v>3236.4269210748525</v>
      </c>
      <c r="AN10" s="140" cm="1">
        <f t="array" ref="AN10">SUMPRODUCT(ISNUMBER( SEARCH('13 Space Heating Costs'!$C$7:$AW$7,'12 Space Heating Subcomponents'!L44)) *'13 Space Heating Costs'!$C$12:$AW$12)</f>
        <v>6625.4896391744569</v>
      </c>
      <c r="AO10" s="140" cm="1">
        <f t="array" ref="AO10">SUMPRODUCT(ISNUMBER( SEARCH('13 Space Heating Costs'!$C$7:$AW$7,'12 Space Heating Subcomponents'!M44)) *'13 Space Heating Costs'!$C$12:$AW$12)</f>
        <v>3835.1460831774657</v>
      </c>
      <c r="AP10" s="140" cm="1">
        <f t="array" ref="AP10">SUMPRODUCT(ISNUMBER( SEARCH('13 Space Heating Costs'!$C$7:$AW$7,'12 Space Heating Subcomponents'!N44)) *'13 Space Heating Costs'!$C$12:$AW$12)</f>
        <v>7641.9514893804844</v>
      </c>
      <c r="AQ10" s="140" cm="1">
        <f t="array" ref="AQ10">SUMPRODUCT(ISNUMBER( SEARCH('13 Space Heating Costs'!$C$7:$AW$7,'12 Space Heating Subcomponents'!O44)) *'13 Space Heating Costs'!$C$12:$AW$12)</f>
        <v>3835.1460831774657</v>
      </c>
      <c r="AR10" s="140" cm="1">
        <f t="array" ref="AR10">SUMPRODUCT(ISNUMBER( SEARCH('13 Space Heating Costs'!$C$7:$AW$7,'12 Space Heating Subcomponents'!P44)) *'13 Space Heating Costs'!$C$12:$AW$12)</f>
        <v>3704.5042116724603</v>
      </c>
      <c r="AS10" s="402" cm="1">
        <f t="array" ref="AS10">SUMPRODUCT(ISNUMBER( SEARCH('13 Space Heating Costs'!$C$7:$AW$7,'12 Space Heating Subcomponents'!Q44)) *'13 Space Heating Costs'!$C$12:$AW$12)</f>
        <v>9727.9434791607255</v>
      </c>
      <c r="AT10" s="72"/>
    </row>
    <row r="11" spans="1:46" ht="200.1" customHeight="1" x14ac:dyDescent="0.25">
      <c r="A11" s="60"/>
      <c r="B11" s="1105"/>
      <c r="C11" s="182" t="s">
        <v>244</v>
      </c>
      <c r="D11" s="182" t="s">
        <v>243</v>
      </c>
      <c r="E11" s="140" cm="1">
        <f t="array" ref="E11">SUMPRODUCT(ISNUMBER( SEARCH('13 Space Heating Costs'!$C$7:$AW$7,'12 Space Heating Subcomponents'!G13)) *'13 Space Heating Costs'!$C$12:$AW$12)</f>
        <v>3557.9287221841596</v>
      </c>
      <c r="F11" s="139"/>
      <c r="G11" s="140" cm="1">
        <f t="array" ref="G11">SUMPRODUCT(ISNUMBER( SEARCH('13 Space Heating Costs'!$C$7:$AW$7,'12 Space Heating Subcomponents'!I13)) *'13 Space Heating Costs'!$C$12:$AW$12)</f>
        <v>6994.1632530554853</v>
      </c>
      <c r="H11" s="140" cm="1">
        <f t="array" ref="H11">SUMPRODUCT(ISNUMBER( SEARCH('13 Space Heating Costs'!$C$7:$AW$7,'12 Space Heating Subcomponents'!J13)) *'13 Space Heating Costs'!$C$12:$AW$12)</f>
        <v>7398.0046839877195</v>
      </c>
      <c r="I11" s="140" cm="1">
        <f t="array" ref="I11">SUMPRODUCT(ISNUMBER( SEARCH('13 Space Heating Costs'!$C$7:$AW$7,'12 Space Heating Subcomponents'!K13)) *'13 Space Heating Costs'!$C$12:$AW$12)</f>
        <v>4143.9600169853948</v>
      </c>
      <c r="J11" s="140" cm="1">
        <f t="array" ref="J11">SUMPRODUCT(ISNUMBER( SEARCH('13 Space Heating Costs'!$C$7:$AW$7,'12 Space Heating Subcomponents'!L13)) *'13 Space Heating Costs'!$C$12:$AW$12)</f>
        <v>7533.022735085</v>
      </c>
      <c r="K11" s="140" cm="1">
        <f t="array" ref="K11">SUMPRODUCT(ISNUMBER( SEARCH('13 Space Heating Costs'!$C$7:$AW$7,'12 Space Heating Subcomponents'!M13)) *'13 Space Heating Costs'!$C$12:$AW$12)</f>
        <v>4742.6791790880079</v>
      </c>
      <c r="L11" s="140" cm="1">
        <f t="array" ref="L11">SUMPRODUCT(ISNUMBER( SEARCH('13 Space Heating Costs'!$C$7:$AW$7,'12 Space Heating Subcomponents'!N13)) *'13 Space Heating Costs'!$C$12:$AW$12)</f>
        <v>8549.4845852910275</v>
      </c>
      <c r="M11" s="140" cm="1">
        <f t="array" ref="M11">SUMPRODUCT(ISNUMBER( SEARCH('13 Space Heating Costs'!$C$7:$AW$7,'12 Space Heating Subcomponents'!O13)) *'13 Space Heating Costs'!$C$12:$AW$12)</f>
        <v>4742.6791790880079</v>
      </c>
      <c r="N11" s="140" cm="1">
        <f t="array" ref="N11">SUMPRODUCT(ISNUMBER( SEARCH('13 Space Heating Costs'!$C$7:$AW$7,'12 Space Heating Subcomponents'!P13)) *'13 Space Heating Costs'!$C$12:$AW$12)</f>
        <v>4612.037307583003</v>
      </c>
      <c r="O11" s="402" cm="1">
        <f t="array" ref="O11">SUMPRODUCT(ISNUMBER( SEARCH('13 Space Heating Costs'!$C$7:$AW$7,'12 Space Heating Subcomponents'!Q13)) *'13 Space Heating Costs'!$C$12:$AW$12)</f>
        <v>7191.9848422350624</v>
      </c>
      <c r="P11" s="72"/>
      <c r="Q11" s="1105"/>
      <c r="R11" s="182" t="s">
        <v>244</v>
      </c>
      <c r="S11" s="182" t="s">
        <v>243</v>
      </c>
      <c r="T11" s="140" cm="1">
        <f t="array" ref="T11">SUMPRODUCT(ISNUMBER( SEARCH('13 Space Heating Costs'!$C$7:$AW$7,'12 Space Heating Subcomponents'!G29)) *'13 Space Heating Costs'!$C$12:$AW$12)</f>
        <v>4643.2239171981109</v>
      </c>
      <c r="U11" s="139"/>
      <c r="V11" s="140" cm="1">
        <f t="array" ref="V11">SUMPRODUCT(ISNUMBER( SEARCH('13 Space Heating Costs'!$C$7:$AW$7,'12 Space Heating Subcomponents'!I29)) *'13 Space Heating Costs'!$C$12:$AW$12)</f>
        <v>8079.4584480694357</v>
      </c>
      <c r="W11" s="140" cm="1">
        <f t="array" ref="W11">SUMPRODUCT(ISNUMBER( SEARCH('13 Space Heating Costs'!$C$7:$AW$7,'12 Space Heating Subcomponents'!J29)) *'13 Space Heating Costs'!$C$12:$AW$12)</f>
        <v>8483.2998790016718</v>
      </c>
      <c r="X11" s="140" cm="1">
        <f t="array" ref="X11">SUMPRODUCT(ISNUMBER( SEARCH('13 Space Heating Costs'!$C$7:$AW$7,'12 Space Heating Subcomponents'!K29)) *'13 Space Heating Costs'!$C$12:$AW$12)</f>
        <v>5229.2552119993461</v>
      </c>
      <c r="Y11" s="140" cm="1">
        <f t="array" ref="Y11">SUMPRODUCT(ISNUMBER( SEARCH('13 Space Heating Costs'!$C$7:$AW$7,'12 Space Heating Subcomponents'!L29)) *'13 Space Heating Costs'!$C$12:$AW$12)</f>
        <v>8618.3179300989505</v>
      </c>
      <c r="Z11" s="140" cm="1">
        <f t="array" ref="Z11">SUMPRODUCT(ISNUMBER( SEARCH('13 Space Heating Costs'!$C$7:$AW$7,'12 Space Heating Subcomponents'!M29)) *'13 Space Heating Costs'!$C$12:$AW$12)</f>
        <v>5827.9743741019593</v>
      </c>
      <c r="AA11" s="140" cm="1">
        <f t="array" ref="AA11">SUMPRODUCT(ISNUMBER( SEARCH('13 Space Heating Costs'!$C$7:$AW$7,'12 Space Heating Subcomponents'!N29)) *'13 Space Heating Costs'!$C$12:$AW$12)</f>
        <v>9634.779780304978</v>
      </c>
      <c r="AB11" s="140" cm="1">
        <f t="array" ref="AB11">SUMPRODUCT(ISNUMBER( SEARCH('13 Space Heating Costs'!$C$7:$AW$7,'12 Space Heating Subcomponents'!O29)) *'13 Space Heating Costs'!$C$12:$AW$12)</f>
        <v>5827.9743741019593</v>
      </c>
      <c r="AC11" s="140" cm="1">
        <f t="array" ref="AC11">SUMPRODUCT(ISNUMBER( SEARCH('13 Space Heating Costs'!$C$7:$AW$7,'12 Space Heating Subcomponents'!P29)) *'13 Space Heating Costs'!$C$12:$AW$12)</f>
        <v>5697.3325025969534</v>
      </c>
      <c r="AD11" s="402" cm="1">
        <f t="array" ref="AD11">SUMPRODUCT(ISNUMBER( SEARCH('13 Space Heating Costs'!$C$7:$AW$7,'12 Space Heating Subcomponents'!Q29)) *'13 Space Heating Costs'!$C$12:$AW$12)</f>
        <v>8277.2800372490128</v>
      </c>
      <c r="AE11" s="72"/>
      <c r="AF11" s="1105"/>
      <c r="AG11" s="182" t="s">
        <v>244</v>
      </c>
      <c r="AH11" s="182" t="s">
        <v>243</v>
      </c>
      <c r="AI11" s="140" cm="1">
        <f t="array" ref="AI11">SUMPRODUCT(ISNUMBER( SEARCH('13 Space Heating Costs'!$C$7:$AW$7,'12 Space Heating Subcomponents'!G45)) *'13 Space Heating Costs'!$C$12:$AW$12)</f>
        <v>3215.2039237587014</v>
      </c>
      <c r="AJ11" s="139"/>
      <c r="AK11" s="140" cm="1">
        <f t="array" ref="AK11">SUMPRODUCT(ISNUMBER( SEARCH('13 Space Heating Costs'!$C$7:$AW$7,'12 Space Heating Subcomponents'!I45)) *'13 Space Heating Costs'!$C$12:$AW$12)</f>
        <v>6651.4384546300262</v>
      </c>
      <c r="AL11" s="140" cm="1">
        <f t="array" ref="AL11">SUMPRODUCT(ISNUMBER( SEARCH('13 Space Heating Costs'!$C$7:$AW$7,'12 Space Heating Subcomponents'!J45)) *'13 Space Heating Costs'!$C$12:$AW$12)</f>
        <v>7055.2798855622614</v>
      </c>
      <c r="AM11" s="140" cm="1">
        <f t="array" ref="AM11">SUMPRODUCT(ISNUMBER( SEARCH('13 Space Heating Costs'!$C$7:$AW$7,'12 Space Heating Subcomponents'!K45)) *'13 Space Heating Costs'!$C$12:$AW$12)</f>
        <v>3801.2352185599366</v>
      </c>
      <c r="AN11" s="140" cm="1">
        <f t="array" ref="AN11">SUMPRODUCT(ISNUMBER( SEARCH('13 Space Heating Costs'!$C$7:$AW$7,'12 Space Heating Subcomponents'!L45)) *'13 Space Heating Costs'!$C$12:$AW$12)</f>
        <v>7190.2979366595409</v>
      </c>
      <c r="AO11" s="140" cm="1">
        <f t="array" ref="AO11">SUMPRODUCT(ISNUMBER( SEARCH('13 Space Heating Costs'!$C$7:$AW$7,'12 Space Heating Subcomponents'!M45)) *'13 Space Heating Costs'!$C$12:$AW$12)</f>
        <v>4399.9543806625497</v>
      </c>
      <c r="AP11" s="140" cm="1">
        <f t="array" ref="AP11">SUMPRODUCT(ISNUMBER( SEARCH('13 Space Heating Costs'!$C$7:$AW$7,'12 Space Heating Subcomponents'!N45)) *'13 Space Heating Costs'!$C$12:$AW$12)</f>
        <v>8206.7597868655685</v>
      </c>
      <c r="AQ11" s="140" cm="1">
        <f t="array" ref="AQ11">SUMPRODUCT(ISNUMBER( SEARCH('13 Space Heating Costs'!$C$7:$AW$7,'12 Space Heating Subcomponents'!O45)) *'13 Space Heating Costs'!$C$12:$AW$12)</f>
        <v>4399.9543806625497</v>
      </c>
      <c r="AR11" s="140" cm="1">
        <f t="array" ref="AR11">SUMPRODUCT(ISNUMBER( SEARCH('13 Space Heating Costs'!$C$7:$AW$7,'12 Space Heating Subcomponents'!P45)) *'13 Space Heating Costs'!$C$12:$AW$12)</f>
        <v>4269.3125091575439</v>
      </c>
      <c r="AS11" s="402" cm="1">
        <f t="array" ref="AS11">SUMPRODUCT(ISNUMBER( SEARCH('13 Space Heating Costs'!$C$7:$AW$7,'12 Space Heating Subcomponents'!Q45)) *'13 Space Heating Costs'!$C$12:$AW$12)</f>
        <v>6849.2600438096033</v>
      </c>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Costs'!$C$12:$AW$12)</f>
        <v>9862.8308167067098</v>
      </c>
      <c r="F12" s="140" cm="1">
        <f t="array" ref="F12">SUMPRODUCT(ISNUMBER( SEARCH('13 Space Heating Costs'!$C$7:$AW$7,'12 Space Heating Subcomponents'!H14)) *'13 Space Heating Costs'!$C$12:$AW$12)</f>
        <v>11896.661667364375</v>
      </c>
      <c r="G12" s="142"/>
      <c r="H12" s="140" cm="1">
        <f t="array" ref="H12">SUMPRODUCT(ISNUMBER( SEARCH('13 Space Heating Costs'!$C$7:$AW$7,'12 Space Heating Subcomponents'!J14)) *'13 Space Heating Costs'!$C$12:$AW$12)</f>
        <v>4281.5609103674669</v>
      </c>
      <c r="I12" s="140" cm="1">
        <f t="array" ref="I12">SUMPRODUCT(ISNUMBER( SEARCH('13 Space Heating Costs'!$C$7:$AW$7,'12 Space Heating Subcomponents'!K14)) *'13 Space Heating Costs'!$C$12:$AW$12)</f>
        <v>10072.607280477334</v>
      </c>
      <c r="J12" s="140" cm="1">
        <f t="array" ref="J12">SUMPRODUCT(ISNUMBER( SEARCH('13 Space Heating Costs'!$C$7:$AW$7,'12 Space Heating Subcomponents'!L14)) *'13 Space Heating Costs'!$C$12:$AW$12)</f>
        <v>10018.178265740733</v>
      </c>
      <c r="K12" s="140" cm="1">
        <f t="array" ref="K12">SUMPRODUCT(ISNUMBER( SEARCH('13 Space Heating Costs'!$C$7:$AW$7,'12 Space Heating Subcomponents'!M14)) *'13 Space Heating Costs'!$C$12:$AW$12)</f>
        <v>11646.30043571317</v>
      </c>
      <c r="L12" s="140" cm="1">
        <f t="array" ref="L12">SUMPRODUCT(ISNUMBER( SEARCH('13 Space Heating Costs'!$C$7:$AW$7,'12 Space Heating Subcomponents'!N14)) *'13 Space Heating Costs'!$C$12:$AW$12)</f>
        <v>11034.64011594676</v>
      </c>
      <c r="M12" s="140" cm="1">
        <f t="array" ref="M12">SUMPRODUCT(ISNUMBER( SEARCH('13 Space Heating Costs'!$C$7:$AW$7,'12 Space Heating Subcomponents'!O14)) *'13 Space Heating Costs'!$C$12:$AW$12)</f>
        <v>11646.30043571317</v>
      </c>
      <c r="N12" s="140" cm="1">
        <f t="array" ref="N12">SUMPRODUCT(ISNUMBER( SEARCH('13 Space Heating Costs'!$C$7:$AW$7,'12 Space Heating Subcomponents'!P14)) *'13 Space Heating Costs'!$C$12:$AW$12)</f>
        <v>11515.658564208166</v>
      </c>
      <c r="O12" s="402" cm="1">
        <f t="array" ref="O12">SUMPRODUCT(ISNUMBER( SEARCH('13 Space Heating Costs'!$C$7:$AW$7,'12 Space Heating Subcomponents'!Q14)) *'13 Space Heating Costs'!$C$12:$AW$12)</f>
        <v>16564.123838563206</v>
      </c>
      <c r="P12" s="72"/>
      <c r="Q12" s="1105"/>
      <c r="R12" s="181" t="s">
        <v>242</v>
      </c>
      <c r="S12" s="181" t="s">
        <v>245</v>
      </c>
      <c r="T12" s="140" cm="1">
        <f t="array" ref="T12">SUMPRODUCT(ISNUMBER( SEARCH('13 Space Heating Costs'!$C$7:$AW$7,'12 Space Heating Subcomponents'!G30)) *'13 Space Heating Costs'!$C$12:$AW$12)</f>
        <v>10319.797214607321</v>
      </c>
      <c r="U12" s="140" cm="1">
        <f t="array" ref="U12">SUMPRODUCT(ISNUMBER( SEARCH('13 Space Heating Costs'!$C$7:$AW$7,'12 Space Heating Subcomponents'!H30)) *'13 Space Heating Costs'!$C$12:$AW$12)</f>
        <v>12353.628065264986</v>
      </c>
      <c r="V12" s="139"/>
      <c r="W12" s="140" cm="1">
        <f t="array" ref="W12">SUMPRODUCT(ISNUMBER( SEARCH('13 Space Heating Costs'!$C$7:$AW$7,'12 Space Heating Subcomponents'!J30)) *'13 Space Heating Costs'!$C$12:$AW$12)</f>
        <v>4738.5273082680778</v>
      </c>
      <c r="X12" s="140" cm="1">
        <f t="array" ref="X12">SUMPRODUCT(ISNUMBER( SEARCH('13 Space Heating Costs'!$C$7:$AW$7,'12 Space Heating Subcomponents'!K30)) *'13 Space Heating Costs'!$C$12:$AW$12)</f>
        <v>10529.573678377945</v>
      </c>
      <c r="Y12" s="140" cm="1">
        <f t="array" ref="Y12">SUMPRODUCT(ISNUMBER( SEARCH('13 Space Heating Costs'!$C$7:$AW$7,'12 Space Heating Subcomponents'!L30)) *'13 Space Heating Costs'!$C$12:$AW$12)</f>
        <v>10475.144663641344</v>
      </c>
      <c r="Z12" s="140" cm="1">
        <f t="array" ref="Z12">SUMPRODUCT(ISNUMBER( SEARCH('13 Space Heating Costs'!$C$7:$AW$7,'12 Space Heating Subcomponents'!M30)) *'13 Space Heating Costs'!$C$12:$AW$12)</f>
        <v>12103.266833613781</v>
      </c>
      <c r="AA12" s="140" cm="1">
        <f t="array" ref="AA12">SUMPRODUCT(ISNUMBER( SEARCH('13 Space Heating Costs'!$C$7:$AW$7,'12 Space Heating Subcomponents'!N30)) *'13 Space Heating Costs'!$C$12:$AW$12)</f>
        <v>11491.606513847371</v>
      </c>
      <c r="AB12" s="140" cm="1">
        <f t="array" ref="AB12">SUMPRODUCT(ISNUMBER( SEARCH('13 Space Heating Costs'!$C$7:$AW$7,'12 Space Heating Subcomponents'!O30)) *'13 Space Heating Costs'!$C$12:$AW$12)</f>
        <v>12103.266833613781</v>
      </c>
      <c r="AC12" s="140" cm="1">
        <f t="array" ref="AC12">SUMPRODUCT(ISNUMBER( SEARCH('13 Space Heating Costs'!$C$7:$AW$7,'12 Space Heating Subcomponents'!P30)) *'13 Space Heating Costs'!$C$12:$AW$12)</f>
        <v>11972.624962108777</v>
      </c>
      <c r="AD12" s="402" cm="1">
        <f t="array" ref="AD12">SUMPRODUCT(ISNUMBER( SEARCH('13 Space Heating Costs'!$C$7:$AW$7,'12 Space Heating Subcomponents'!Q30)) *'13 Space Heating Costs'!$C$12:$AW$12)</f>
        <v>17021.090236463817</v>
      </c>
      <c r="AE12" s="72"/>
      <c r="AF12" s="1105"/>
      <c r="AG12" s="181" t="s">
        <v>242</v>
      </c>
      <c r="AH12" s="181" t="s">
        <v>245</v>
      </c>
      <c r="AI12" s="140" cm="1">
        <f t="array" ref="AI12">SUMPRODUCT(ISNUMBER( SEARCH('13 Space Heating Costs'!$C$7:$AW$7,'12 Space Heating Subcomponents'!G46)) *'13 Space Heating Costs'!$C$12:$AW$12)</f>
        <v>8891.7772211679112</v>
      </c>
      <c r="AJ12" s="140" cm="1">
        <f t="array" ref="AJ12">SUMPRODUCT(ISNUMBER( SEARCH('13 Space Heating Costs'!$C$7:$AW$7,'12 Space Heating Subcomponents'!H46)) *'13 Space Heating Costs'!$C$12:$AW$12)</f>
        <v>10925.608071825576</v>
      </c>
      <c r="AK12" s="139"/>
      <c r="AL12" s="140" cm="1">
        <f t="array" ref="AL12">SUMPRODUCT(ISNUMBER( SEARCH('13 Space Heating Costs'!$C$7:$AW$7,'12 Space Heating Subcomponents'!J46)) *'13 Space Heating Costs'!$C$12:$AW$12)</f>
        <v>3310.5073148286688</v>
      </c>
      <c r="AM12" s="140" cm="1">
        <f t="array" ref="AM12">SUMPRODUCT(ISNUMBER( SEARCH('13 Space Heating Costs'!$C$7:$AW$7,'12 Space Heating Subcomponents'!K46)) *'13 Space Heating Costs'!$C$12:$AW$12)</f>
        <v>9101.5536849385353</v>
      </c>
      <c r="AN12" s="140" cm="1">
        <f t="array" ref="AN12">SUMPRODUCT(ISNUMBER( SEARCH('13 Space Heating Costs'!$C$7:$AW$7,'12 Space Heating Subcomponents'!L46)) *'13 Space Heating Costs'!$C$12:$AW$12)</f>
        <v>9047.1246702019344</v>
      </c>
      <c r="AO12" s="140" cm="1">
        <f t="array" ref="AO12">SUMPRODUCT(ISNUMBER( SEARCH('13 Space Heating Costs'!$C$7:$AW$7,'12 Space Heating Subcomponents'!M46)) *'13 Space Heating Costs'!$C$12:$AW$12)</f>
        <v>10675.246840174372</v>
      </c>
      <c r="AP12" s="140" cm="1">
        <f t="array" ref="AP12">SUMPRODUCT(ISNUMBER( SEARCH('13 Space Heating Costs'!$C$7:$AW$7,'12 Space Heating Subcomponents'!N46)) *'13 Space Heating Costs'!$C$12:$AW$12)</f>
        <v>10063.586520407962</v>
      </c>
      <c r="AQ12" s="140" cm="1">
        <f t="array" ref="AQ12">SUMPRODUCT(ISNUMBER( SEARCH('13 Space Heating Costs'!$C$7:$AW$7,'12 Space Heating Subcomponents'!O46)) *'13 Space Heating Costs'!$C$12:$AW$12)</f>
        <v>10675.246840174372</v>
      </c>
      <c r="AR12" s="140" cm="1">
        <f t="array" ref="AR12">SUMPRODUCT(ISNUMBER( SEARCH('13 Space Heating Costs'!$C$7:$AW$7,'12 Space Heating Subcomponents'!P46)) *'13 Space Heating Costs'!$C$12:$AW$12)</f>
        <v>10544.604968669368</v>
      </c>
      <c r="AS12" s="402" cm="1">
        <f t="array" ref="AS12">SUMPRODUCT(ISNUMBER( SEARCH('13 Space Heating Costs'!$C$7:$AW$7,'12 Space Heating Subcomponents'!Q46)) *'13 Space Heating Costs'!$C$12:$AW$12)</f>
        <v>15593.070243024407</v>
      </c>
      <c r="AT12" s="72"/>
    </row>
    <row r="13" spans="1:46" ht="200.1" customHeight="1" x14ac:dyDescent="0.25">
      <c r="A13" s="60"/>
      <c r="B13" s="1105"/>
      <c r="C13" s="182" t="s">
        <v>244</v>
      </c>
      <c r="D13" s="182" t="s">
        <v>245</v>
      </c>
      <c r="E13" s="140" cm="1">
        <f t="array" ref="E13">SUMPRODUCT(ISNUMBER( SEARCH('13 Space Heating Costs'!$C$7:$AW$7,'12 Space Heating Subcomponents'!G15)) *'13 Space Heating Costs'!$C$12:$AW$12)</f>
        <v>11297.517285599881</v>
      </c>
      <c r="F13" s="140" cm="1">
        <f t="array" ref="F13">SUMPRODUCT(ISNUMBER( SEARCH('13 Space Heating Costs'!$C$7:$AW$7,'12 Space Heating Subcomponents'!H15)) *'13 Space Heating Costs'!$C$12:$AW$12)</f>
        <v>11694.101514567235</v>
      </c>
      <c r="G13" s="140" cm="1">
        <f t="array" ref="G13">SUMPRODUCT(ISNUMBER( SEARCH('13 Space Heating Costs'!$C$7:$AW$7,'12 Space Heating Subcomponents'!I15)) *'13 Space Heating Costs'!$C$12:$AW$12)</f>
        <v>3675.1593266380937</v>
      </c>
      <c r="H13" s="139"/>
      <c r="I13" s="140" cm="1">
        <f t="array" ref="I13">SUMPRODUCT(ISNUMBER( SEARCH('13 Space Heating Costs'!$C$7:$AW$7,'12 Space Heating Subcomponents'!K15)) *'13 Space Heating Costs'!$C$12:$AW$12)</f>
        <v>10908.574587267894</v>
      </c>
      <c r="J13" s="140" cm="1">
        <f t="array" ref="J13">SUMPRODUCT(ISNUMBER( SEARCH('13 Space Heating Costs'!$C$7:$AW$7,'12 Space Heating Subcomponents'!L15)) *'13 Space Heating Costs'!$C$12:$AW$12)</f>
        <v>10854.145572531292</v>
      </c>
      <c r="K13" s="140" cm="1">
        <f t="array" ref="K13">SUMPRODUCT(ISNUMBER( SEARCH('13 Space Heating Costs'!$C$7:$AW$7,'12 Space Heating Subcomponents'!M15)) *'13 Space Heating Costs'!$C$12:$AW$12)</f>
        <v>11507.293749370507</v>
      </c>
      <c r="L13" s="140" cm="1">
        <f t="array" ref="L13">SUMPRODUCT(ISNUMBER( SEARCH('13 Space Heating Costs'!$C$7:$AW$7,'12 Space Heating Subcomponents'!N15)) *'13 Space Heating Costs'!$C$12:$AW$12)</f>
        <v>11870.607422737319</v>
      </c>
      <c r="M13" s="140" cm="1">
        <f t="array" ref="M13">SUMPRODUCT(ISNUMBER( SEARCH('13 Space Heating Costs'!$C$7:$AW$7,'12 Space Heating Subcomponents'!O15)) *'13 Space Heating Costs'!$C$12:$AW$12)</f>
        <v>11507.293749370507</v>
      </c>
      <c r="N13" s="140" cm="1">
        <f t="array" ref="N13">SUMPRODUCT(ISNUMBER( SEARCH('13 Space Heating Costs'!$C$7:$AW$7,'12 Space Heating Subcomponents'!P15)) *'13 Space Heating Costs'!$C$12:$AW$12)</f>
        <v>12351.625870998725</v>
      </c>
      <c r="O13" s="402" cm="1">
        <f t="array" ref="O13">SUMPRODUCT(ISNUMBER( SEARCH('13 Space Heating Costs'!$C$7:$AW$7,'12 Space Heating Subcomponents'!Q15)) *'13 Space Heating Costs'!$C$12:$AW$12)</f>
        <v>13956.59941251756</v>
      </c>
      <c r="P13" s="72"/>
      <c r="Q13" s="1105"/>
      <c r="R13" s="182" t="s">
        <v>244</v>
      </c>
      <c r="S13" s="182" t="s">
        <v>245</v>
      </c>
      <c r="T13" s="140" cm="1">
        <f t="array" ref="T13">SUMPRODUCT(ISNUMBER( SEARCH('13 Space Heating Costs'!$C$7:$AW$7,'12 Space Heating Subcomponents'!G31)) *'13 Space Heating Costs'!$C$12:$AW$12)</f>
        <v>11533.324674195017</v>
      </c>
      <c r="U13" s="140" cm="1">
        <f t="array" ref="U13">SUMPRODUCT(ISNUMBER( SEARCH('13 Space Heating Costs'!$C$7:$AW$7,'12 Space Heating Subcomponents'!H31)) *'13 Space Heating Costs'!$C$12:$AW$12)</f>
        <v>11929.908903162372</v>
      </c>
      <c r="V13" s="140" cm="1">
        <f t="array" ref="V13">SUMPRODUCT(ISNUMBER( SEARCH('13 Space Heating Costs'!$C$7:$AW$7,'12 Space Heating Subcomponents'!I31)) *'13 Space Heating Costs'!$C$12:$AW$12)</f>
        <v>3910.9667152332308</v>
      </c>
      <c r="W13" s="139"/>
      <c r="X13" s="140" cm="1">
        <f t="array" ref="X13">SUMPRODUCT(ISNUMBER( SEARCH('13 Space Heating Costs'!$C$7:$AW$7,'12 Space Heating Subcomponents'!K31)) *'13 Space Heating Costs'!$C$12:$AW$12)</f>
        <v>11144.381975863031</v>
      </c>
      <c r="Y13" s="140" cm="1">
        <f t="array" ref="Y13">SUMPRODUCT(ISNUMBER( SEARCH('13 Space Heating Costs'!$C$7:$AW$7,'12 Space Heating Subcomponents'!L31)) *'13 Space Heating Costs'!$C$12:$AW$12)</f>
        <v>11089.952961126428</v>
      </c>
      <c r="Z13" s="140" cm="1">
        <f t="array" ref="Z13">SUMPRODUCT(ISNUMBER( SEARCH('13 Space Heating Costs'!$C$7:$AW$7,'12 Space Heating Subcomponents'!M31)) *'13 Space Heating Costs'!$C$12:$AW$12)</f>
        <v>11743.101137965643</v>
      </c>
      <c r="AA13" s="140" cm="1">
        <f t="array" ref="AA13">SUMPRODUCT(ISNUMBER( SEARCH('13 Space Heating Costs'!$C$7:$AW$7,'12 Space Heating Subcomponents'!N31)) *'13 Space Heating Costs'!$C$12:$AW$12)</f>
        <v>12106.414811332455</v>
      </c>
      <c r="AB13" s="140" cm="1">
        <f t="array" ref="AB13">SUMPRODUCT(ISNUMBER( SEARCH('13 Space Heating Costs'!$C$7:$AW$7,'12 Space Heating Subcomponents'!O31)) *'13 Space Heating Costs'!$C$12:$AW$12)</f>
        <v>11743.101137965643</v>
      </c>
      <c r="AC13" s="140" cm="1">
        <f t="array" ref="AC13">SUMPRODUCT(ISNUMBER( SEARCH('13 Space Heating Costs'!$C$7:$AW$7,'12 Space Heating Subcomponents'!P31)) *'13 Space Heating Costs'!$C$12:$AW$12)</f>
        <v>12587.433259593861</v>
      </c>
      <c r="AD13" s="402" cm="1">
        <f t="array" ref="AD13">SUMPRODUCT(ISNUMBER( SEARCH('13 Space Heating Costs'!$C$7:$AW$7,'12 Space Heating Subcomponents'!Q31)) *'13 Space Heating Costs'!$C$12:$AW$12)</f>
        <v>14192.406801112696</v>
      </c>
      <c r="AE13" s="72"/>
      <c r="AF13" s="1105"/>
      <c r="AG13" s="182" t="s">
        <v>244</v>
      </c>
      <c r="AH13" s="182" t="s">
        <v>245</v>
      </c>
      <c r="AI13" s="140" cm="1">
        <f t="array" ref="AI13">SUMPRODUCT(ISNUMBER( SEARCH('13 Space Heating Costs'!$C$7:$AW$7,'12 Space Heating Subcomponents'!G47)) *'13 Space Heating Costs'!$C$12:$AW$12)</f>
        <v>10105.304680755607</v>
      </c>
      <c r="AJ13" s="140" cm="1">
        <f t="array" ref="AJ13">SUMPRODUCT(ISNUMBER( SEARCH('13 Space Heating Costs'!$C$7:$AW$7,'12 Space Heating Subcomponents'!H47)) *'13 Space Heating Costs'!$C$12:$AW$12)</f>
        <v>10501.888909722962</v>
      </c>
      <c r="AK13" s="140" cm="1">
        <f t="array" ref="AK13">SUMPRODUCT(ISNUMBER( SEARCH('13 Space Heating Costs'!$C$7:$AW$7,'12 Space Heating Subcomponents'!I47)) *'13 Space Heating Costs'!$C$12:$AW$12)</f>
        <v>2482.9467217938213</v>
      </c>
      <c r="AL13" s="139"/>
      <c r="AM13" s="140" cm="1">
        <f t="array" ref="AM13">SUMPRODUCT(ISNUMBER( SEARCH('13 Space Heating Costs'!$C$7:$AW$7,'12 Space Heating Subcomponents'!K47)) *'13 Space Heating Costs'!$C$12:$AW$12)</f>
        <v>9716.3619824236212</v>
      </c>
      <c r="AN13" s="140" cm="1">
        <f t="array" ref="AN13">SUMPRODUCT(ISNUMBER( SEARCH('13 Space Heating Costs'!$C$7:$AW$7,'12 Space Heating Subcomponents'!L47)) *'13 Space Heating Costs'!$C$12:$AW$12)</f>
        <v>9661.9329676870184</v>
      </c>
      <c r="AO13" s="140" cm="1">
        <f t="array" ref="AO13">SUMPRODUCT(ISNUMBER( SEARCH('13 Space Heating Costs'!$C$7:$AW$7,'12 Space Heating Subcomponents'!M47)) *'13 Space Heating Costs'!$C$12:$AW$12)</f>
        <v>10315.081144526233</v>
      </c>
      <c r="AP13" s="140" cm="1">
        <f t="array" ref="AP13">SUMPRODUCT(ISNUMBER( SEARCH('13 Space Heating Costs'!$C$7:$AW$7,'12 Space Heating Subcomponents'!N47)) *'13 Space Heating Costs'!$C$12:$AW$12)</f>
        <v>10678.394817893046</v>
      </c>
      <c r="AQ13" s="140" cm="1">
        <f t="array" ref="AQ13">SUMPRODUCT(ISNUMBER( SEARCH('13 Space Heating Costs'!$C$7:$AW$7,'12 Space Heating Subcomponents'!O47)) *'13 Space Heating Costs'!$C$12:$AW$12)</f>
        <v>10315.081144526233</v>
      </c>
      <c r="AR13" s="140" cm="1">
        <f t="array" ref="AR13">SUMPRODUCT(ISNUMBER( SEARCH('13 Space Heating Costs'!$C$7:$AW$7,'12 Space Heating Subcomponents'!P47)) *'13 Space Heating Costs'!$C$12:$AW$12)</f>
        <v>11159.413266154452</v>
      </c>
      <c r="AS13" s="402" cm="1">
        <f t="array" ref="AS13">SUMPRODUCT(ISNUMBER( SEARCH('13 Space Heating Costs'!$C$7:$AW$7,'12 Space Heating Subcomponents'!Q47)) *'13 Space Heating Costs'!$C$12:$AW$12)</f>
        <v>12764.386807673287</v>
      </c>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Costs'!$C$12:$AW$12)</f>
        <v>2170.4202551507669</v>
      </c>
      <c r="F14" s="140" cm="1">
        <f t="array" ref="F14">SUMPRODUCT(ISNUMBER( SEARCH('13 Space Heating Costs'!$C$7:$AW$7,'12 Space Heating Subcomponents'!H16)) *'13 Space Heating Costs'!$C$12:$AW$12)</f>
        <v>3605.5319437058188</v>
      </c>
      <c r="G14" s="140" cm="1">
        <f t="array" ref="G14">SUMPRODUCT(ISNUMBER( SEARCH('13 Space Heating Costs'!$C$7:$AW$7,'12 Space Heating Subcomponents'!I16)) *'13 Space Heating Costs'!$C$12:$AW$12)</f>
        <v>5606.6547860220926</v>
      </c>
      <c r="H14" s="140" cm="1">
        <f t="array" ref="H14">SUMPRODUCT(ISNUMBER( SEARCH('13 Space Heating Costs'!$C$7:$AW$7,'12 Space Heating Subcomponents'!J16)) *'13 Space Heating Costs'!$C$12:$AW$12)</f>
        <v>7049.0236765420241</v>
      </c>
      <c r="I14" s="142"/>
      <c r="J14" s="140" cm="1">
        <f t="array" ref="J14">SUMPRODUCT(ISNUMBER( SEARCH('13 Space Heating Costs'!$C$7:$AW$7,'12 Space Heating Subcomponents'!L16)) *'13 Space Heating Costs'!$C$12:$AW$12)</f>
        <v>5388.9387270756879</v>
      </c>
      <c r="K14" s="140" cm="1">
        <f t="array" ref="K14">SUMPRODUCT(ISNUMBER( SEARCH('13 Space Heating Costs'!$C$7:$AW$7,'12 Space Heating Subcomponents'!M16)) *'13 Space Heating Costs'!$C$12:$AW$12)</f>
        <v>2598.5951710786962</v>
      </c>
      <c r="L14" s="140" cm="1">
        <f t="array" ref="L14">SUMPRODUCT(ISNUMBER( SEARCH('13 Space Heating Costs'!$C$7:$AW$7,'12 Space Heating Subcomponents'!N16)) *'13 Space Heating Costs'!$C$12:$AW$12)</f>
        <v>6405.4005772817145</v>
      </c>
      <c r="M14" s="140" cm="1">
        <f t="array" ref="M14">SUMPRODUCT(ISNUMBER( SEARCH('13 Space Heating Costs'!$C$7:$AW$7,'12 Space Heating Subcomponents'!O16)) *'13 Space Heating Costs'!$C$12:$AW$12)</f>
        <v>2598.5951710786962</v>
      </c>
      <c r="N14" s="140" cm="1">
        <f t="array" ref="N14">SUMPRODUCT(ISNUMBER( SEARCH('13 Space Heating Costs'!$C$7:$AW$7,'12 Space Heating Subcomponents'!P16)) *'13 Space Heating Costs'!$C$12:$AW$12)</f>
        <v>3224.5288405496103</v>
      </c>
      <c r="O14" s="402" cm="1">
        <f t="array" ref="O14">SUMPRODUCT(ISNUMBER( SEARCH('13 Space Heating Costs'!$C$7:$AW$7,'12 Space Heating Subcomponents'!Q16)) *'13 Space Heating Costs'!$C$12:$AW$12)</f>
        <v>7584.2326170322776</v>
      </c>
      <c r="P14" s="72"/>
      <c r="Q14" s="1105"/>
      <c r="R14" s="182" t="s">
        <v>246</v>
      </c>
      <c r="S14" s="182" t="s">
        <v>243</v>
      </c>
      <c r="T14" s="140" cm="1">
        <f t="array" ref="T14">SUMPRODUCT(ISNUMBER( SEARCH('13 Space Heating Costs'!$C$7:$AW$7,'12 Space Heating Subcomponents'!G32)) *'13 Space Heating Costs'!$C$12:$AW$12)</f>
        <v>2170.4202551507669</v>
      </c>
      <c r="U14" s="140" cm="1">
        <f t="array" ref="U14">SUMPRODUCT(ISNUMBER( SEARCH('13 Space Heating Costs'!$C$7:$AW$7,'12 Space Heating Subcomponents'!H32)) *'13 Space Heating Costs'!$C$12:$AW$12)</f>
        <v>3605.5319437058188</v>
      </c>
      <c r="V14" s="140" cm="1">
        <f t="array" ref="V14">SUMPRODUCT(ISNUMBER( SEARCH('13 Space Heating Costs'!$C$7:$AW$7,'12 Space Heating Subcomponents'!I32)) *'13 Space Heating Costs'!$C$12:$AW$12)</f>
        <v>5606.6547860220926</v>
      </c>
      <c r="W14" s="140" cm="1">
        <f t="array" ref="W14">SUMPRODUCT(ISNUMBER( SEARCH('13 Space Heating Costs'!$C$7:$AW$7,'12 Space Heating Subcomponents'!J32)) *'13 Space Heating Costs'!$C$12:$AW$12)</f>
        <v>7049.0236765420241</v>
      </c>
      <c r="X14" s="139"/>
      <c r="Y14" s="140" cm="1">
        <f t="array" ref="Y14">SUMPRODUCT(ISNUMBER( SEARCH('13 Space Heating Costs'!$C$7:$AW$7,'12 Space Heating Subcomponents'!L32)) *'13 Space Heating Costs'!$C$12:$AW$12)</f>
        <v>5388.9387270756879</v>
      </c>
      <c r="Z14" s="140" cm="1">
        <f t="array" ref="Z14">SUMPRODUCT(ISNUMBER( SEARCH('13 Space Heating Costs'!$C$7:$AW$7,'12 Space Heating Subcomponents'!M32)) *'13 Space Heating Costs'!$C$12:$AW$12)</f>
        <v>2598.5951710786962</v>
      </c>
      <c r="AA14" s="140" cm="1">
        <f t="array" ref="AA14">SUMPRODUCT(ISNUMBER( SEARCH('13 Space Heating Costs'!$C$7:$AW$7,'12 Space Heating Subcomponents'!N32)) *'13 Space Heating Costs'!$C$12:$AW$12)</f>
        <v>6405.4005772817145</v>
      </c>
      <c r="AB14" s="140" cm="1">
        <f t="array" ref="AB14">SUMPRODUCT(ISNUMBER( SEARCH('13 Space Heating Costs'!$C$7:$AW$7,'12 Space Heating Subcomponents'!O32)) *'13 Space Heating Costs'!$C$12:$AW$12)</f>
        <v>2598.5951710786962</v>
      </c>
      <c r="AC14" s="140" cm="1">
        <f t="array" ref="AC14">SUMPRODUCT(ISNUMBER( SEARCH('13 Space Heating Costs'!$C$7:$AW$7,'12 Space Heating Subcomponents'!P32)) *'13 Space Heating Costs'!$C$12:$AW$12)</f>
        <v>3224.5288405496103</v>
      </c>
      <c r="AD14" s="402" cm="1">
        <f t="array" ref="AD14">SUMPRODUCT(ISNUMBER( SEARCH('13 Space Heating Costs'!$C$7:$AW$7,'12 Space Heating Subcomponents'!Q32)) *'13 Space Heating Costs'!$C$12:$AW$12)</f>
        <v>7584.2326170322776</v>
      </c>
      <c r="AE14" s="72"/>
      <c r="AF14" s="1105"/>
      <c r="AG14" s="182" t="s">
        <v>246</v>
      </c>
      <c r="AH14" s="182" t="s">
        <v>243</v>
      </c>
      <c r="AI14" s="140" cm="1">
        <f t="array" ref="AI14">SUMPRODUCT(ISNUMBER( SEARCH('13 Space Heating Costs'!$C$7:$AW$7,'12 Space Heating Subcomponents'!G48)) *'13 Space Heating Costs'!$C$12:$AW$12)</f>
        <v>2170.4202551507669</v>
      </c>
      <c r="AJ14" s="140" cm="1">
        <f t="array" ref="AJ14">SUMPRODUCT(ISNUMBER( SEARCH('13 Space Heating Costs'!$C$7:$AW$7,'12 Space Heating Subcomponents'!H48)) *'13 Space Heating Costs'!$C$12:$AW$12)</f>
        <v>3605.5319437058188</v>
      </c>
      <c r="AK14" s="140" cm="1">
        <f t="array" ref="AK14">SUMPRODUCT(ISNUMBER( SEARCH('13 Space Heating Costs'!$C$7:$AW$7,'12 Space Heating Subcomponents'!I48)) *'13 Space Heating Costs'!$C$12:$AW$12)</f>
        <v>5606.6547860220926</v>
      </c>
      <c r="AL14" s="140" cm="1">
        <f t="array" ref="AL14">SUMPRODUCT(ISNUMBER( SEARCH('13 Space Heating Costs'!$C$7:$AW$7,'12 Space Heating Subcomponents'!J48)) *'13 Space Heating Costs'!$C$12:$AW$12)</f>
        <v>7049.0236765420241</v>
      </c>
      <c r="AM14" s="139"/>
      <c r="AN14" s="140" cm="1">
        <f t="array" ref="AN14">SUMPRODUCT(ISNUMBER( SEARCH('13 Space Heating Costs'!$C$7:$AW$7,'12 Space Heating Subcomponents'!L48)) *'13 Space Heating Costs'!$C$12:$AW$12)</f>
        <v>5388.9387270756879</v>
      </c>
      <c r="AO14" s="140" cm="1">
        <f t="array" ref="AO14">SUMPRODUCT(ISNUMBER( SEARCH('13 Space Heating Costs'!$C$7:$AW$7,'12 Space Heating Subcomponents'!M48)) *'13 Space Heating Costs'!$C$12:$AW$12)</f>
        <v>2598.5951710786962</v>
      </c>
      <c r="AP14" s="140" cm="1">
        <f t="array" ref="AP14">SUMPRODUCT(ISNUMBER( SEARCH('13 Space Heating Costs'!$C$7:$AW$7,'12 Space Heating Subcomponents'!N48)) *'13 Space Heating Costs'!$C$12:$AW$12)</f>
        <v>6405.4005772817145</v>
      </c>
      <c r="AQ14" s="140" cm="1">
        <f t="array" ref="AQ14">SUMPRODUCT(ISNUMBER( SEARCH('13 Space Heating Costs'!$C$7:$AW$7,'12 Space Heating Subcomponents'!O48)) *'13 Space Heating Costs'!$C$12:$AW$12)</f>
        <v>2598.5951710786962</v>
      </c>
      <c r="AR14" s="140" cm="1">
        <f t="array" ref="AR14">SUMPRODUCT(ISNUMBER( SEARCH('13 Space Heating Costs'!$C$7:$AW$7,'12 Space Heating Subcomponents'!P48)) *'13 Space Heating Costs'!$C$12:$AW$12)</f>
        <v>3224.5288405496103</v>
      </c>
      <c r="AS14" s="402" cm="1">
        <f t="array" ref="AS14">SUMPRODUCT(ISNUMBER( SEARCH('13 Space Heating Costs'!$C$7:$AW$7,'12 Space Heating Subcomponents'!Q48)) *'13 Space Heating Costs'!$C$12:$AW$12)</f>
        <v>7584.2326170322776</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Costs'!$C$12:$AW$12)</f>
        <v>2620.3942482839898</v>
      </c>
      <c r="F15" s="140" cm="1">
        <f t="array" ref="F15">SUMPRODUCT(ISNUMBER( SEARCH('13 Space Heating Costs'!$C$7:$AW$7,'12 Space Heating Subcomponents'!H17)) *'13 Space Heating Costs'!$C$12:$AW$12)</f>
        <v>4055.5059368390412</v>
      </c>
      <c r="G15" s="140" cm="1">
        <f t="array" ref="G15">SUMPRODUCT(ISNUMBER( SEARCH('13 Space Heating Costs'!$C$7:$AW$7,'12 Space Heating Subcomponents'!I17)) *'13 Space Heating Costs'!$C$12:$AW$12)</f>
        <v>1638.1630531858868</v>
      </c>
      <c r="H15" s="140" cm="1">
        <f t="array" ref="H15">SUMPRODUCT(ISNUMBER( SEARCH('13 Space Heating Costs'!$C$7:$AW$7,'12 Space Heating Subcomponents'!J17)) *'13 Space Heating Costs'!$C$12:$AW$12)</f>
        <v>3080.5319437058188</v>
      </c>
      <c r="I15" s="140" cm="1">
        <f t="array" ref="I15">SUMPRODUCT(ISNUMBER( SEARCH('13 Space Heating Costs'!$C$7:$AW$7,'12 Space Heating Subcomponents'!K17)) *'13 Space Heating Costs'!$C$12:$AW$12)</f>
        <v>2449.8500021093059</v>
      </c>
      <c r="J15" s="139"/>
      <c r="K15" s="140" cm="1">
        <f t="array" ref="K15">SUMPRODUCT(ISNUMBER( SEARCH('13 Space Heating Costs'!$C$7:$AW$7,'12 Space Heating Subcomponents'!M17)) *'13 Space Heating Costs'!$C$12:$AW$12)</f>
        <v>3048.5691642119191</v>
      </c>
      <c r="L15" s="140" cm="1">
        <f t="array" ref="L15">SUMPRODUCT(ISNUMBER( SEARCH('13 Space Heating Costs'!$C$7:$AW$7,'12 Space Heating Subcomponents'!N17)) *'13 Space Heating Costs'!$C$12:$AW$12)</f>
        <v>2436.9088444455092</v>
      </c>
      <c r="M15" s="140" cm="1">
        <f t="array" ref="M15">SUMPRODUCT(ISNUMBER( SEARCH('13 Space Heating Costs'!$C$7:$AW$7,'12 Space Heating Subcomponents'!O17)) *'13 Space Heating Costs'!$C$12:$AW$12)</f>
        <v>3048.5691642119191</v>
      </c>
      <c r="N15" s="140" cm="1">
        <f t="array" ref="N15">SUMPRODUCT(ISNUMBER( SEARCH('13 Space Heating Costs'!$C$7:$AW$7,'12 Space Heating Subcomponents'!P17)) *'13 Space Heating Costs'!$C$12:$AW$12)</f>
        <v>3674.5028336828327</v>
      </c>
      <c r="O15" s="402" cm="1">
        <f t="array" ref="O15">SUMPRODUCT(ISNUMBER( SEARCH('13 Space Heating Costs'!$C$7:$AW$7,'12 Space Heating Subcomponents'!Q17)) *'13 Space Heating Costs'!$C$12:$AW$12)</f>
        <v>4522.9008342257503</v>
      </c>
      <c r="P15" s="72"/>
      <c r="Q15" s="1105"/>
      <c r="R15" s="182" t="s">
        <v>246</v>
      </c>
      <c r="S15" s="182" t="s">
        <v>247</v>
      </c>
      <c r="T15" s="140" cm="1">
        <f t="array" ref="T15">SUMPRODUCT(ISNUMBER( SEARCH('13 Space Heating Costs'!$C$7:$AW$7,'12 Space Heating Subcomponents'!G33)) *'13 Space Heating Costs'!$C$12:$AW$12)</f>
        <v>2620.3942482839898</v>
      </c>
      <c r="U15" s="140" cm="1">
        <f t="array" ref="U15">SUMPRODUCT(ISNUMBER( SEARCH('13 Space Heating Costs'!$C$7:$AW$7,'12 Space Heating Subcomponents'!H33)) *'13 Space Heating Costs'!$C$12:$AW$12)</f>
        <v>4055.5059368390412</v>
      </c>
      <c r="V15" s="140" cm="1">
        <f t="array" ref="V15">SUMPRODUCT(ISNUMBER( SEARCH('13 Space Heating Costs'!$C$7:$AW$7,'12 Space Heating Subcomponents'!I33)) *'13 Space Heating Costs'!$C$12:$AW$12)</f>
        <v>1638.1630531858868</v>
      </c>
      <c r="W15" s="140" cm="1">
        <f t="array" ref="W15">SUMPRODUCT(ISNUMBER( SEARCH('13 Space Heating Costs'!$C$7:$AW$7,'12 Space Heating Subcomponents'!J33)) *'13 Space Heating Costs'!$C$12:$AW$12)</f>
        <v>3080.5319437058188</v>
      </c>
      <c r="X15" s="140" cm="1">
        <f t="array" ref="X15">SUMPRODUCT(ISNUMBER( SEARCH('13 Space Heating Costs'!$C$7:$AW$7,'12 Space Heating Subcomponents'!K33)) *'13 Space Heating Costs'!$C$12:$AW$12)</f>
        <v>2449.8500021093059</v>
      </c>
      <c r="Y15" s="139"/>
      <c r="Z15" s="140" cm="1">
        <f t="array" ref="Z15">SUMPRODUCT(ISNUMBER( SEARCH('13 Space Heating Costs'!$C$7:$AW$7,'12 Space Heating Subcomponents'!M33)) *'13 Space Heating Costs'!$C$12:$AW$12)</f>
        <v>3048.5691642119191</v>
      </c>
      <c r="AA15" s="140" cm="1">
        <f t="array" ref="AA15">SUMPRODUCT(ISNUMBER( SEARCH('13 Space Heating Costs'!$C$7:$AW$7,'12 Space Heating Subcomponents'!N33)) *'13 Space Heating Costs'!$C$12:$AW$12)</f>
        <v>2436.9088444455092</v>
      </c>
      <c r="AB15" s="140" cm="1">
        <f t="array" ref="AB15">SUMPRODUCT(ISNUMBER( SEARCH('13 Space Heating Costs'!$C$7:$AW$7,'12 Space Heating Subcomponents'!O33)) *'13 Space Heating Costs'!$C$12:$AW$12)</f>
        <v>3048.5691642119191</v>
      </c>
      <c r="AC15" s="140" cm="1">
        <f t="array" ref="AC15">SUMPRODUCT(ISNUMBER( SEARCH('13 Space Heating Costs'!$C$7:$AW$7,'12 Space Heating Subcomponents'!P33)) *'13 Space Heating Costs'!$C$12:$AW$12)</f>
        <v>3674.5028336828327</v>
      </c>
      <c r="AD15" s="402" cm="1">
        <f t="array" ref="AD15">SUMPRODUCT(ISNUMBER( SEARCH('13 Space Heating Costs'!$C$7:$AW$7,'12 Space Heating Subcomponents'!Q33)) *'13 Space Heating Costs'!$C$12:$AW$12)</f>
        <v>4522.9008342257503</v>
      </c>
      <c r="AE15" s="72"/>
      <c r="AF15" s="1105"/>
      <c r="AG15" s="182" t="s">
        <v>246</v>
      </c>
      <c r="AH15" s="182" t="s">
        <v>247</v>
      </c>
      <c r="AI15" s="140" cm="1">
        <f t="array" ref="AI15">SUMPRODUCT(ISNUMBER( SEARCH('13 Space Heating Costs'!$C$7:$AW$7,'12 Space Heating Subcomponents'!G49)) *'13 Space Heating Costs'!$C$12:$AW$12)</f>
        <v>2620.3942482839898</v>
      </c>
      <c r="AJ15" s="140" cm="1">
        <f t="array" ref="AJ15">SUMPRODUCT(ISNUMBER( SEARCH('13 Space Heating Costs'!$C$7:$AW$7,'12 Space Heating Subcomponents'!H49)) *'13 Space Heating Costs'!$C$12:$AW$12)</f>
        <v>4055.5059368390412</v>
      </c>
      <c r="AK15" s="140" cm="1">
        <f t="array" ref="AK15">SUMPRODUCT(ISNUMBER( SEARCH('13 Space Heating Costs'!$C$7:$AW$7,'12 Space Heating Subcomponents'!I49)) *'13 Space Heating Costs'!$C$12:$AW$12)</f>
        <v>1638.1630531858868</v>
      </c>
      <c r="AL15" s="140" cm="1">
        <f t="array" ref="AL15">SUMPRODUCT(ISNUMBER( SEARCH('13 Space Heating Costs'!$C$7:$AW$7,'12 Space Heating Subcomponents'!J49)) *'13 Space Heating Costs'!$C$12:$AW$12)</f>
        <v>3080.5319437058188</v>
      </c>
      <c r="AM15" s="140" cm="1">
        <f t="array" ref="AM15">SUMPRODUCT(ISNUMBER( SEARCH('13 Space Heating Costs'!$C$7:$AW$7,'12 Space Heating Subcomponents'!K49)) *'13 Space Heating Costs'!$C$12:$AW$12)</f>
        <v>2449.8500021093059</v>
      </c>
      <c r="AN15" s="139"/>
      <c r="AO15" s="140" cm="1">
        <f t="array" ref="AO15">SUMPRODUCT(ISNUMBER( SEARCH('13 Space Heating Costs'!$C$7:$AW$7,'12 Space Heating Subcomponents'!M49)) *'13 Space Heating Costs'!$C$12:$AW$12)</f>
        <v>3048.5691642119191</v>
      </c>
      <c r="AP15" s="140" cm="1">
        <f t="array" ref="AP15">SUMPRODUCT(ISNUMBER( SEARCH('13 Space Heating Costs'!$C$7:$AW$7,'12 Space Heating Subcomponents'!N49)) *'13 Space Heating Costs'!$C$12:$AW$12)</f>
        <v>2436.9088444455092</v>
      </c>
      <c r="AQ15" s="140" cm="1">
        <f t="array" ref="AQ15">SUMPRODUCT(ISNUMBER( SEARCH('13 Space Heating Costs'!$C$7:$AW$7,'12 Space Heating Subcomponents'!O49)) *'13 Space Heating Costs'!$C$12:$AW$12)</f>
        <v>3048.5691642119191</v>
      </c>
      <c r="AR15" s="140" cm="1">
        <f t="array" ref="AR15">SUMPRODUCT(ISNUMBER( SEARCH('13 Space Heating Costs'!$C$7:$AW$7,'12 Space Heating Subcomponents'!P49)) *'13 Space Heating Costs'!$C$12:$AW$12)</f>
        <v>3674.5028336828327</v>
      </c>
      <c r="AS15" s="402" cm="1">
        <f t="array" ref="AS15">SUMPRODUCT(ISNUMBER( SEARCH('13 Space Heating Costs'!$C$7:$AW$7,'12 Space Heating Subcomponents'!Q49)) *'13 Space Heating Costs'!$C$12:$AW$12)</f>
        <v>4522.9008342257503</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Costs'!$C$12:$AW$12)</f>
        <v>1470.4202551507669</v>
      </c>
      <c r="F16" s="140" cm="1">
        <f t="array" ref="F16">SUMPRODUCT(ISNUMBER( SEARCH('13 Space Heating Costs'!$C$7:$AW$7,'12 Space Heating Subcomponents'!H18)) *'13 Space Heating Costs'!$C$12:$AW$12)</f>
        <v>2905.5319437058188</v>
      </c>
      <c r="G16" s="140" cm="1">
        <f t="array" ref="G16">SUMPRODUCT(ISNUMBER( SEARCH('13 Space Heating Costs'!$C$7:$AW$7,'12 Space Heating Subcomponents'!I18)) *'13 Space Heating Costs'!$C$12:$AW$12)</f>
        <v>4906.6547860220926</v>
      </c>
      <c r="H16" s="140" cm="1">
        <f t="array" ref="H16">SUMPRODUCT(ISNUMBER( SEARCH('13 Space Heating Costs'!$C$7:$AW$7,'12 Space Heating Subcomponents'!J18)) *'13 Space Heating Costs'!$C$12:$AW$12)</f>
        <v>6349.0236765420241</v>
      </c>
      <c r="I16" s="140" cm="1">
        <f t="array" ref="I16">SUMPRODUCT(ISNUMBER( SEARCH('13 Space Heating Costs'!$C$7:$AW$7,'12 Space Heating Subcomponents'!K18)) *'13 Space Heating Costs'!$C$12:$AW$12)</f>
        <v>1299.8760089760831</v>
      </c>
      <c r="J16" s="140" cm="1">
        <f t="array" ref="J16">SUMPRODUCT(ISNUMBER( SEARCH('13 Space Heating Costs'!$C$7:$AW$7,'12 Space Heating Subcomponents'!L18)) *'13 Space Heating Costs'!$C$12:$AW$12)</f>
        <v>4688.9387270756879</v>
      </c>
      <c r="K16" s="142"/>
      <c r="L16" s="140" cm="1">
        <f t="array" ref="L16">SUMPRODUCT(ISNUMBER( SEARCH('13 Space Heating Costs'!$C$7:$AW$7,'12 Space Heating Subcomponents'!N18)) *'13 Space Heating Costs'!$C$12:$AW$12)</f>
        <v>4798.2406272520366</v>
      </c>
      <c r="M16" s="140" cm="1">
        <f t="array" ref="M16">SUMPRODUCT(ISNUMBER( SEARCH('13 Space Heating Costs'!$C$7:$AW$7,'12 Space Heating Subcomponents'!O18)) *'13 Space Heating Costs'!$C$12:$AW$12)</f>
        <v>991.43522104901797</v>
      </c>
      <c r="N16" s="140" cm="1">
        <f t="array" ref="N16">SUMPRODUCT(ISNUMBER( SEARCH('13 Space Heating Costs'!$C$7:$AW$7,'12 Space Heating Subcomponents'!P18)) *'13 Space Heating Costs'!$C$12:$AW$12)</f>
        <v>2524.5288405496103</v>
      </c>
      <c r="O16" s="402" cm="1">
        <f t="array" ref="O16">SUMPRODUCT(ISNUMBER( SEARCH('13 Space Heating Costs'!$C$7:$AW$7,'12 Space Heating Subcomponents'!Q18)) *'13 Space Heating Costs'!$C$12:$AW$12)</f>
        <v>6884.2326170322776</v>
      </c>
      <c r="P16" s="72"/>
      <c r="Q16" s="1105"/>
      <c r="R16" s="182" t="s">
        <v>246</v>
      </c>
      <c r="S16" s="182" t="s">
        <v>248</v>
      </c>
      <c r="T16" s="140" cm="1">
        <f t="array" ref="T16">SUMPRODUCT(ISNUMBER( SEARCH('13 Space Heating Costs'!$C$7:$AW$7,'12 Space Heating Subcomponents'!G34)) *'13 Space Heating Costs'!$C$12:$AW$12)</f>
        <v>1470.4202551507669</v>
      </c>
      <c r="U16" s="140" cm="1">
        <f t="array" ref="U16">SUMPRODUCT(ISNUMBER( SEARCH('13 Space Heating Costs'!$C$7:$AW$7,'12 Space Heating Subcomponents'!H34)) *'13 Space Heating Costs'!$C$12:$AW$12)</f>
        <v>2905.5319437058188</v>
      </c>
      <c r="V16" s="140" cm="1">
        <f t="array" ref="V16">SUMPRODUCT(ISNUMBER( SEARCH('13 Space Heating Costs'!$C$7:$AW$7,'12 Space Heating Subcomponents'!I34)) *'13 Space Heating Costs'!$C$12:$AW$12)</f>
        <v>4906.6547860220926</v>
      </c>
      <c r="W16" s="140" cm="1">
        <f t="array" ref="W16">SUMPRODUCT(ISNUMBER( SEARCH('13 Space Heating Costs'!$C$7:$AW$7,'12 Space Heating Subcomponents'!J34)) *'13 Space Heating Costs'!$C$12:$AW$12)</f>
        <v>6349.0236765420241</v>
      </c>
      <c r="X16" s="140" cm="1">
        <f t="array" ref="X16">SUMPRODUCT(ISNUMBER( SEARCH('13 Space Heating Costs'!$C$7:$AW$7,'12 Space Heating Subcomponents'!K34)) *'13 Space Heating Costs'!$C$12:$AW$12)</f>
        <v>1299.8760089760831</v>
      </c>
      <c r="Y16" s="140" cm="1">
        <f t="array" ref="Y16">SUMPRODUCT(ISNUMBER( SEARCH('13 Space Heating Costs'!$C$7:$AW$7,'12 Space Heating Subcomponents'!L34)) *'13 Space Heating Costs'!$C$12:$AW$12)</f>
        <v>4688.9387270756879</v>
      </c>
      <c r="Z16" s="139"/>
      <c r="AA16" s="140" cm="1">
        <f t="array" ref="AA16">SUMPRODUCT(ISNUMBER( SEARCH('13 Space Heating Costs'!$C$7:$AW$7,'12 Space Heating Subcomponents'!N34)) *'13 Space Heating Costs'!$C$12:$AW$12)</f>
        <v>4798.2406272520366</v>
      </c>
      <c r="AB16" s="140" cm="1">
        <f t="array" ref="AB16">SUMPRODUCT(ISNUMBER( SEARCH('13 Space Heating Costs'!$C$7:$AW$7,'12 Space Heating Subcomponents'!O34)) *'13 Space Heating Costs'!$C$12:$AW$12)</f>
        <v>991.43522104901797</v>
      </c>
      <c r="AC16" s="140" cm="1">
        <f t="array" ref="AC16">SUMPRODUCT(ISNUMBER( SEARCH('13 Space Heating Costs'!$C$7:$AW$7,'12 Space Heating Subcomponents'!P34)) *'13 Space Heating Costs'!$C$12:$AW$12)</f>
        <v>2524.5288405496103</v>
      </c>
      <c r="AD16" s="402" cm="1">
        <f t="array" ref="AD16">SUMPRODUCT(ISNUMBER( SEARCH('13 Space Heating Costs'!$C$7:$AW$7,'12 Space Heating Subcomponents'!Q34)) *'13 Space Heating Costs'!$C$12:$AW$12)</f>
        <v>6884.2326170322776</v>
      </c>
      <c r="AE16" s="72"/>
      <c r="AF16" s="1105"/>
      <c r="AG16" s="182" t="s">
        <v>246</v>
      </c>
      <c r="AH16" s="182" t="s">
        <v>248</v>
      </c>
      <c r="AI16" s="140" cm="1">
        <f t="array" ref="AI16">SUMPRODUCT(ISNUMBER( SEARCH('13 Space Heating Costs'!$C$7:$AW$7,'12 Space Heating Subcomponents'!G50)) *'13 Space Heating Costs'!$C$12:$AW$12)</f>
        <v>1470.4202551507669</v>
      </c>
      <c r="AJ16" s="140" cm="1">
        <f t="array" ref="AJ16">SUMPRODUCT(ISNUMBER( SEARCH('13 Space Heating Costs'!$C$7:$AW$7,'12 Space Heating Subcomponents'!H50)) *'13 Space Heating Costs'!$C$12:$AW$12)</f>
        <v>2905.5319437058188</v>
      </c>
      <c r="AK16" s="140" cm="1">
        <f t="array" ref="AK16">SUMPRODUCT(ISNUMBER( SEARCH('13 Space Heating Costs'!$C$7:$AW$7,'12 Space Heating Subcomponents'!I50)) *'13 Space Heating Costs'!$C$12:$AW$12)</f>
        <v>4906.6547860220926</v>
      </c>
      <c r="AL16" s="140" cm="1">
        <f t="array" ref="AL16">SUMPRODUCT(ISNUMBER( SEARCH('13 Space Heating Costs'!$C$7:$AW$7,'12 Space Heating Subcomponents'!J50)) *'13 Space Heating Costs'!$C$12:$AW$12)</f>
        <v>6349.0236765420241</v>
      </c>
      <c r="AM16" s="140" cm="1">
        <f t="array" ref="AM16">SUMPRODUCT(ISNUMBER( SEARCH('13 Space Heating Costs'!$C$7:$AW$7,'12 Space Heating Subcomponents'!K50)) *'13 Space Heating Costs'!$C$12:$AW$12)</f>
        <v>1299.8760089760831</v>
      </c>
      <c r="AN16" s="140" cm="1">
        <f t="array" ref="AN16">SUMPRODUCT(ISNUMBER( SEARCH('13 Space Heating Costs'!$C$7:$AW$7,'12 Space Heating Subcomponents'!L50)) *'13 Space Heating Costs'!$C$12:$AW$12)</f>
        <v>4688.9387270756879</v>
      </c>
      <c r="AO16" s="139"/>
      <c r="AP16" s="140" cm="1">
        <f t="array" ref="AP16">SUMPRODUCT(ISNUMBER( SEARCH('13 Space Heating Costs'!$C$7:$AW$7,'12 Space Heating Subcomponents'!N50)) *'13 Space Heating Costs'!$C$12:$AW$12)</f>
        <v>4798.2406272520366</v>
      </c>
      <c r="AQ16" s="140" cm="1">
        <f t="array" ref="AQ16">SUMPRODUCT(ISNUMBER( SEARCH('13 Space Heating Costs'!$C$7:$AW$7,'12 Space Heating Subcomponents'!O50)) *'13 Space Heating Costs'!$C$12:$AW$12)</f>
        <v>991.43522104901797</v>
      </c>
      <c r="AR16" s="140" cm="1">
        <f t="array" ref="AR16">SUMPRODUCT(ISNUMBER( SEARCH('13 Space Heating Costs'!$C$7:$AW$7,'12 Space Heating Subcomponents'!P50)) *'13 Space Heating Costs'!$C$12:$AW$12)</f>
        <v>2524.5288405496103</v>
      </c>
      <c r="AS16" s="402" cm="1">
        <f t="array" ref="AS16">SUMPRODUCT(ISNUMBER( SEARCH('13 Space Heating Costs'!$C$7:$AW$7,'12 Space Heating Subcomponents'!Q50)) *'13 Space Heating Costs'!$C$12:$AW$12)</f>
        <v>6884.2326170322776</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Costs'!$C$12:$AW$12)</f>
        <v>4553.6238870240186</v>
      </c>
      <c r="F17" s="140" cm="1">
        <f t="array" ref="F17">SUMPRODUCT(ISNUMBER( SEARCH('13 Space Heating Costs'!$C$7:$AW$7,'12 Space Heating Subcomponents'!H19)) *'13 Space Heating Costs'!$C$12:$AW$12)</f>
        <v>5988.7355755790704</v>
      </c>
      <c r="G17" s="140" cm="1">
        <f t="array" ref="G17">SUMPRODUCT(ISNUMBER( SEARCH('13 Space Heating Costs'!$C$7:$AW$7,'12 Space Heating Subcomponents'!I19)) *'13 Space Heating Costs'!$C$12:$AW$12)</f>
        <v>3571.3926919259156</v>
      </c>
      <c r="H17" s="140" cm="1">
        <f t="array" ref="H17">SUMPRODUCT(ISNUMBER( SEARCH('13 Space Heating Costs'!$C$7:$AW$7,'12 Space Heating Subcomponents'!J19)) *'13 Space Heating Costs'!$C$12:$AW$12)</f>
        <v>5013.7615824458471</v>
      </c>
      <c r="I17" s="140" cm="1">
        <f t="array" ref="I17">SUMPRODUCT(ISNUMBER( SEARCH('13 Space Heating Costs'!$C$7:$AW$7,'12 Space Heating Subcomponents'!K19)) *'13 Space Heating Costs'!$C$12:$AW$12)</f>
        <v>4383.0796408493352</v>
      </c>
      <c r="J17" s="140" cm="1">
        <f t="array" ref="J17">SUMPRODUCT(ISNUMBER( SEARCH('13 Space Heating Costs'!$C$7:$AW$7,'12 Space Heating Subcomponents'!L19)) *'13 Space Heating Costs'!$C$12:$AW$12)</f>
        <v>4328.6506261127342</v>
      </c>
      <c r="K17" s="140" cm="1">
        <f t="array" ref="K17">SUMPRODUCT(ISNUMBER( SEARCH('13 Space Heating Costs'!$C$7:$AW$7,'12 Space Heating Subcomponents'!M19)) *'13 Space Heating Costs'!$C$12:$AW$12)</f>
        <v>4074.6388529222695</v>
      </c>
      <c r="L17" s="142"/>
      <c r="M17" s="140" cm="1">
        <f t="array" ref="M17">SUMPRODUCT(ISNUMBER( SEARCH('13 Space Heating Costs'!$C$7:$AW$7,'12 Space Heating Subcomponents'!O19)) *'13 Space Heating Costs'!$C$12:$AW$12)</f>
        <v>4074.6388529222695</v>
      </c>
      <c r="N17" s="140" cm="1">
        <f t="array" ref="N17">SUMPRODUCT(ISNUMBER( SEARCH('13 Space Heating Costs'!$C$7:$AW$7,'12 Space Heating Subcomponents'!P19)) *'13 Space Heating Costs'!$C$12:$AW$12)</f>
        <v>5607.732472422862</v>
      </c>
      <c r="O17" s="402" cm="1">
        <f t="array" ref="O17">SUMPRODUCT(ISNUMBER( SEARCH('13 Space Heating Costs'!$C$7:$AW$7,'12 Space Heating Subcomponents'!Q19)) *'13 Space Heating Costs'!$C$12:$AW$12)</f>
        <v>6456.1304729657786</v>
      </c>
      <c r="P17" s="72"/>
      <c r="Q17" s="1105"/>
      <c r="R17" s="182" t="s">
        <v>246</v>
      </c>
      <c r="S17" s="182" t="s">
        <v>249</v>
      </c>
      <c r="T17" s="140" cm="1">
        <f t="array" ref="T17">SUMPRODUCT(ISNUMBER( SEARCH('13 Space Heating Costs'!$C$7:$AW$7,'12 Space Heating Subcomponents'!G35)) *'13 Space Heating Costs'!$C$12:$AW$12)</f>
        <v>4553.6238870240186</v>
      </c>
      <c r="U17" s="140" cm="1">
        <f t="array" ref="U17">SUMPRODUCT(ISNUMBER( SEARCH('13 Space Heating Costs'!$C$7:$AW$7,'12 Space Heating Subcomponents'!H35)) *'13 Space Heating Costs'!$C$12:$AW$12)</f>
        <v>5988.7355755790704</v>
      </c>
      <c r="V17" s="140" cm="1">
        <f t="array" ref="V17">SUMPRODUCT(ISNUMBER( SEARCH('13 Space Heating Costs'!$C$7:$AW$7,'12 Space Heating Subcomponents'!I35)) *'13 Space Heating Costs'!$C$12:$AW$12)</f>
        <v>3571.3926919259156</v>
      </c>
      <c r="W17" s="140" cm="1">
        <f t="array" ref="W17">SUMPRODUCT(ISNUMBER( SEARCH('13 Space Heating Costs'!$C$7:$AW$7,'12 Space Heating Subcomponents'!J35)) *'13 Space Heating Costs'!$C$12:$AW$12)</f>
        <v>5013.7615824458471</v>
      </c>
      <c r="X17" s="140" cm="1">
        <f t="array" ref="X17">SUMPRODUCT(ISNUMBER( SEARCH('13 Space Heating Costs'!$C$7:$AW$7,'12 Space Heating Subcomponents'!K35)) *'13 Space Heating Costs'!$C$12:$AW$12)</f>
        <v>4383.0796408493352</v>
      </c>
      <c r="Y17" s="140" cm="1">
        <f t="array" ref="Y17">SUMPRODUCT(ISNUMBER( SEARCH('13 Space Heating Costs'!$C$7:$AW$7,'12 Space Heating Subcomponents'!L35)) *'13 Space Heating Costs'!$C$12:$AW$12)</f>
        <v>4328.6506261127342</v>
      </c>
      <c r="Z17" s="140" cm="1">
        <f t="array" ref="Z17">SUMPRODUCT(ISNUMBER( SEARCH('13 Space Heating Costs'!$C$7:$AW$7,'12 Space Heating Subcomponents'!M35)) *'13 Space Heating Costs'!$C$12:$AW$12)</f>
        <v>4074.6388529222695</v>
      </c>
      <c r="AA17" s="139"/>
      <c r="AB17" s="140" cm="1">
        <f t="array" ref="AB17">SUMPRODUCT(ISNUMBER( SEARCH('13 Space Heating Costs'!$C$7:$AW$7,'12 Space Heating Subcomponents'!O35)) *'13 Space Heating Costs'!$C$12:$AW$12)</f>
        <v>4074.6388529222695</v>
      </c>
      <c r="AC17" s="140" cm="1">
        <f t="array" ref="AC17">SUMPRODUCT(ISNUMBER( SEARCH('13 Space Heating Costs'!$C$7:$AW$7,'12 Space Heating Subcomponents'!P35)) *'13 Space Heating Costs'!$C$12:$AW$12)</f>
        <v>5607.732472422862</v>
      </c>
      <c r="AD17" s="402" cm="1">
        <f t="array" ref="AD17">SUMPRODUCT(ISNUMBER( SEARCH('13 Space Heating Costs'!$C$7:$AW$7,'12 Space Heating Subcomponents'!Q35)) *'13 Space Heating Costs'!$C$12:$AW$12)</f>
        <v>6456.1304729657786</v>
      </c>
      <c r="AE17" s="72"/>
      <c r="AF17" s="1105"/>
      <c r="AG17" s="182" t="s">
        <v>246</v>
      </c>
      <c r="AH17" s="182" t="s">
        <v>249</v>
      </c>
      <c r="AI17" s="140" cm="1">
        <f t="array" ref="AI17">SUMPRODUCT(ISNUMBER( SEARCH('13 Space Heating Costs'!$C$7:$AW$7,'12 Space Heating Subcomponents'!G51)) *'13 Space Heating Costs'!$C$12:$AW$12)</f>
        <v>4553.6238870240186</v>
      </c>
      <c r="AJ17" s="140" cm="1">
        <f t="array" ref="AJ17">SUMPRODUCT(ISNUMBER( SEARCH('13 Space Heating Costs'!$C$7:$AW$7,'12 Space Heating Subcomponents'!H51)) *'13 Space Heating Costs'!$C$12:$AW$12)</f>
        <v>5988.7355755790704</v>
      </c>
      <c r="AK17" s="140" cm="1">
        <f t="array" ref="AK17">SUMPRODUCT(ISNUMBER( SEARCH('13 Space Heating Costs'!$C$7:$AW$7,'12 Space Heating Subcomponents'!I51)) *'13 Space Heating Costs'!$C$12:$AW$12)</f>
        <v>3571.3926919259156</v>
      </c>
      <c r="AL17" s="140" cm="1">
        <f t="array" ref="AL17">SUMPRODUCT(ISNUMBER( SEARCH('13 Space Heating Costs'!$C$7:$AW$7,'12 Space Heating Subcomponents'!J51)) *'13 Space Heating Costs'!$C$12:$AW$12)</f>
        <v>5013.7615824458471</v>
      </c>
      <c r="AM17" s="140" cm="1">
        <f t="array" ref="AM17">SUMPRODUCT(ISNUMBER( SEARCH('13 Space Heating Costs'!$C$7:$AW$7,'12 Space Heating Subcomponents'!K51)) *'13 Space Heating Costs'!$C$12:$AW$12)</f>
        <v>4383.0796408493352</v>
      </c>
      <c r="AN17" s="140" cm="1">
        <f t="array" ref="AN17">SUMPRODUCT(ISNUMBER( SEARCH('13 Space Heating Costs'!$C$7:$AW$7,'12 Space Heating Subcomponents'!L51)) *'13 Space Heating Costs'!$C$12:$AW$12)</f>
        <v>4328.6506261127342</v>
      </c>
      <c r="AO17" s="140" cm="1">
        <f t="array" ref="AO17">SUMPRODUCT(ISNUMBER( SEARCH('13 Space Heating Costs'!$C$7:$AW$7,'12 Space Heating Subcomponents'!M51)) *'13 Space Heating Costs'!$C$12:$AW$12)</f>
        <v>4074.6388529222695</v>
      </c>
      <c r="AP17" s="139"/>
      <c r="AQ17" s="140" cm="1">
        <f t="array" ref="AQ17">SUMPRODUCT(ISNUMBER( SEARCH('13 Space Heating Costs'!$C$7:$AW$7,'12 Space Heating Subcomponents'!O51)) *'13 Space Heating Costs'!$C$12:$AW$12)</f>
        <v>4074.6388529222695</v>
      </c>
      <c r="AR17" s="140" cm="1">
        <f t="array" ref="AR17">SUMPRODUCT(ISNUMBER( SEARCH('13 Space Heating Costs'!$C$7:$AW$7,'12 Space Heating Subcomponents'!P51)) *'13 Space Heating Costs'!$C$12:$AW$12)</f>
        <v>5607.732472422862</v>
      </c>
      <c r="AS17" s="402" cm="1">
        <f t="array" ref="AS17">SUMPRODUCT(ISNUMBER( SEARCH('13 Space Heating Costs'!$C$7:$AW$7,'12 Space Heating Subcomponents'!Q51)) *'13 Space Heating Costs'!$C$12:$AW$12)</f>
        <v>6456.1304729657786</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Costs'!$C$12:$AW$12)</f>
        <v>18047.058083543918</v>
      </c>
      <c r="F18" s="140" cm="1">
        <f t="array" ref="F18">SUMPRODUCT(ISNUMBER( SEARCH('13 Space Heating Costs'!$C$7:$AW$7,'12 Space Heating Subcomponents'!H20)) *'13 Space Heating Costs'!$C$12:$AW$12)</f>
        <v>22925.661504935175</v>
      </c>
      <c r="G18" s="140" cm="1">
        <f t="array" ref="G18">SUMPRODUCT(ISNUMBER( SEARCH('13 Space Heating Costs'!$C$7:$AW$7,'12 Space Heating Subcomponents'!I20)) *'13 Space Heating Costs'!$C$12:$AW$12)</f>
        <v>18039.800881579034</v>
      </c>
      <c r="H18" s="140" cm="1">
        <f t="array" ref="H18">SUMPRODUCT(ISNUMBER( SEARCH('13 Space Heating Costs'!$C$7:$AW$7,'12 Space Heating Subcomponents'!J20)) *'13 Space Heating Costs'!$C$12:$AW$12)</f>
        <v>22925.661504935175</v>
      </c>
      <c r="I18" s="140" cm="1">
        <f t="array" ref="I18">SUMPRODUCT(ISNUMBER( SEARCH('13 Space Heating Costs'!$C$7:$AW$7,'12 Space Heating Subcomponents'!K20)) *'13 Space Heating Costs'!$C$12:$AW$12)</f>
        <v>17876.513837369232</v>
      </c>
      <c r="J18" s="140" cm="1">
        <f t="array" ref="J18">SUMPRODUCT(ISNUMBER( SEARCH('13 Space Heating Costs'!$C$7:$AW$7,'12 Space Heating Subcomponents'!L20)) *'13 Space Heating Costs'!$C$12:$AW$12)</f>
        <v>22022.152096444752</v>
      </c>
      <c r="K18" s="140" cm="1">
        <f t="array" ref="K18">SUMPRODUCT(ISNUMBER( SEARCH('13 Space Heating Costs'!$C$7:$AW$7,'12 Space Heating Subcomponents'!M20)) *'13 Space Heating Costs'!$C$12:$AW$12)</f>
        <v>17568.073049442166</v>
      </c>
      <c r="L18" s="140" cm="1">
        <f t="array" ref="L18">SUMPRODUCT(ISNUMBER( SEARCH('13 Space Heating Costs'!$C$7:$AW$7,'12 Space Heating Subcomponents'!N20)) *'13 Space Heating Costs'!$C$12:$AW$12)</f>
        <v>21374.878455645186</v>
      </c>
      <c r="M18" s="142"/>
      <c r="N18" s="140" cm="1">
        <f t="array" ref="N18">SUMPRODUCT(ISNUMBER( SEARCH('13 Space Heating Costs'!$C$7:$AW$7,'12 Space Heating Subcomponents'!P20)) *'13 Space Heating Costs'!$C$12:$AW$12)</f>
        <v>22544.658401778965</v>
      </c>
      <c r="O18" s="402" cm="1">
        <f t="array" ref="O18">SUMPRODUCT(ISNUMBER( SEARCH('13 Space Heating Costs'!$C$7:$AW$7,'12 Space Heating Subcomponents'!Q20)) *'13 Space Heating Costs'!$C$12:$AW$12)</f>
        <v>20773.954253565138</v>
      </c>
      <c r="P18" s="72"/>
      <c r="Q18" s="1105"/>
      <c r="R18" s="182" t="s">
        <v>246</v>
      </c>
      <c r="S18" s="182" t="s">
        <v>250</v>
      </c>
      <c r="T18" s="140" cm="1">
        <f t="array" ref="T18">SUMPRODUCT(ISNUMBER( SEARCH('13 Space Heating Costs'!$C$7:$AW$7,'12 Space Heating Subcomponents'!G36)) *'13 Space Heating Costs'!$C$12:$AW$12)</f>
        <v>18047.058083543918</v>
      </c>
      <c r="U18" s="140" cm="1">
        <f t="array" ref="U18">SUMPRODUCT(ISNUMBER( SEARCH('13 Space Heating Costs'!$C$7:$AW$7,'12 Space Heating Subcomponents'!H36)) *'13 Space Heating Costs'!$C$12:$AW$12)</f>
        <v>22925.661504935175</v>
      </c>
      <c r="V18" s="140" cm="1">
        <f t="array" ref="V18">SUMPRODUCT(ISNUMBER( SEARCH('13 Space Heating Costs'!$C$7:$AW$7,'12 Space Heating Subcomponents'!I36)) *'13 Space Heating Costs'!$C$12:$AW$12)</f>
        <v>18039.800881579034</v>
      </c>
      <c r="W18" s="140" cm="1">
        <f t="array" ref="W18">SUMPRODUCT(ISNUMBER( SEARCH('13 Space Heating Costs'!$C$7:$AW$7,'12 Space Heating Subcomponents'!J36)) *'13 Space Heating Costs'!$C$12:$AW$12)</f>
        <v>22925.661504935175</v>
      </c>
      <c r="X18" s="140" cm="1">
        <f t="array" ref="X18">SUMPRODUCT(ISNUMBER( SEARCH('13 Space Heating Costs'!$C$7:$AW$7,'12 Space Heating Subcomponents'!K36)) *'13 Space Heating Costs'!$C$12:$AW$12)</f>
        <v>17876.513837369232</v>
      </c>
      <c r="Y18" s="140" cm="1">
        <f t="array" ref="Y18">SUMPRODUCT(ISNUMBER( SEARCH('13 Space Heating Costs'!$C$7:$AW$7,'12 Space Heating Subcomponents'!L36)) *'13 Space Heating Costs'!$C$12:$AW$12)</f>
        <v>22022.152096444752</v>
      </c>
      <c r="Z18" s="140" cm="1">
        <f t="array" ref="Z18">SUMPRODUCT(ISNUMBER( SEARCH('13 Space Heating Costs'!$C$7:$AW$7,'12 Space Heating Subcomponents'!M36)) *'13 Space Heating Costs'!$C$12:$AW$12)</f>
        <v>17568.073049442166</v>
      </c>
      <c r="AA18" s="140" cm="1">
        <f t="array" ref="AA18">SUMPRODUCT(ISNUMBER( SEARCH('13 Space Heating Costs'!$C$7:$AW$7,'12 Space Heating Subcomponents'!N36)) *'13 Space Heating Costs'!$C$12:$AW$12)</f>
        <v>21374.878455645186</v>
      </c>
      <c r="AB18" s="139"/>
      <c r="AC18" s="140" cm="1">
        <f t="array" ref="AC18">SUMPRODUCT(ISNUMBER( SEARCH('13 Space Heating Costs'!$C$7:$AW$7,'12 Space Heating Subcomponents'!P36)) *'13 Space Heating Costs'!$C$12:$AW$12)</f>
        <v>22544.658401778965</v>
      </c>
      <c r="AD18" s="402" cm="1">
        <f t="array" ref="AD18">SUMPRODUCT(ISNUMBER( SEARCH('13 Space Heating Costs'!$C$7:$AW$7,'12 Space Heating Subcomponents'!Q36)) *'13 Space Heating Costs'!$C$12:$AW$12)</f>
        <v>20773.954253565138</v>
      </c>
      <c r="AE18" s="72"/>
      <c r="AF18" s="1105"/>
      <c r="AG18" s="182" t="s">
        <v>246</v>
      </c>
      <c r="AH18" s="182" t="s">
        <v>250</v>
      </c>
      <c r="AI18" s="140" cm="1">
        <f t="array" ref="AI18">SUMPRODUCT(ISNUMBER( SEARCH('13 Space Heating Costs'!$C$7:$AW$7,'12 Space Heating Subcomponents'!G52)) *'13 Space Heating Costs'!$C$12:$AW$12)</f>
        <v>18047.058083543918</v>
      </c>
      <c r="AJ18" s="140" cm="1">
        <f t="array" ref="AJ18">SUMPRODUCT(ISNUMBER( SEARCH('13 Space Heating Costs'!$C$7:$AW$7,'12 Space Heating Subcomponents'!H52)) *'13 Space Heating Costs'!$C$12:$AW$12)</f>
        <v>22925.661504935175</v>
      </c>
      <c r="AK18" s="140" cm="1">
        <f t="array" ref="AK18">SUMPRODUCT(ISNUMBER( SEARCH('13 Space Heating Costs'!$C$7:$AW$7,'12 Space Heating Subcomponents'!I52)) *'13 Space Heating Costs'!$C$12:$AW$12)</f>
        <v>18039.800881579034</v>
      </c>
      <c r="AL18" s="140" cm="1">
        <f t="array" ref="AL18">SUMPRODUCT(ISNUMBER( SEARCH('13 Space Heating Costs'!$C$7:$AW$7,'12 Space Heating Subcomponents'!J52)) *'13 Space Heating Costs'!$C$12:$AW$12)</f>
        <v>22925.661504935175</v>
      </c>
      <c r="AM18" s="140" cm="1">
        <f t="array" ref="AM18">SUMPRODUCT(ISNUMBER( SEARCH('13 Space Heating Costs'!$C$7:$AW$7,'12 Space Heating Subcomponents'!K52)) *'13 Space Heating Costs'!$C$12:$AW$12)</f>
        <v>17876.513837369232</v>
      </c>
      <c r="AN18" s="140" cm="1">
        <f t="array" ref="AN18">SUMPRODUCT(ISNUMBER( SEARCH('13 Space Heating Costs'!$C$7:$AW$7,'12 Space Heating Subcomponents'!L52)) *'13 Space Heating Costs'!$C$12:$AW$12)</f>
        <v>22022.152096444752</v>
      </c>
      <c r="AO18" s="140" cm="1">
        <f t="array" ref="AO18">SUMPRODUCT(ISNUMBER( SEARCH('13 Space Heating Costs'!$C$7:$AW$7,'12 Space Heating Subcomponents'!M52)) *'13 Space Heating Costs'!$C$12:$AW$12)</f>
        <v>17568.073049442166</v>
      </c>
      <c r="AP18" s="140" cm="1">
        <f t="array" ref="AP18">SUMPRODUCT(ISNUMBER( SEARCH('13 Space Heating Costs'!$C$7:$AW$7,'12 Space Heating Subcomponents'!N52)) *'13 Space Heating Costs'!$C$12:$AW$12)</f>
        <v>21374.878455645186</v>
      </c>
      <c r="AQ18" s="139"/>
      <c r="AR18" s="140" cm="1">
        <f t="array" ref="AR18">SUMPRODUCT(ISNUMBER( SEARCH('13 Space Heating Costs'!$C$7:$AW$7,'12 Space Heating Subcomponents'!P52)) *'13 Space Heating Costs'!$C$12:$AW$12)</f>
        <v>22544.658401778965</v>
      </c>
      <c r="AS18" s="402" cm="1">
        <f t="array" ref="AS18">SUMPRODUCT(ISNUMBER( SEARCH('13 Space Heating Costs'!$C$7:$AW$7,'12 Space Heating Subcomponents'!Q52)) *'13 Space Heating Costs'!$C$12:$AW$12)</f>
        <v>20773.954253565138</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Costs'!$C$12:$AW$12)</f>
        <v>3165.2077344407503</v>
      </c>
      <c r="F19" s="140" cm="1">
        <f t="array" ref="F19">SUMPRODUCT(ISNUMBER( SEARCH('13 Space Heating Costs'!$C$7:$AW$7,'12 Space Heating Subcomponents'!H21)) *'13 Space Heating Costs'!$C$12:$AW$12)</f>
        <v>4600.3194229958017</v>
      </c>
      <c r="G19" s="140" cm="1">
        <f t="array" ref="G19">SUMPRODUCT(ISNUMBER( SEARCH('13 Space Heating Costs'!$C$7:$AW$7,'12 Space Heating Subcomponents'!I21)) *'13 Space Heating Costs'!$C$12:$AW$12)</f>
        <v>6601.4422653120755</v>
      </c>
      <c r="H19" s="140" cm="1">
        <f t="array" ref="H19">SUMPRODUCT(ISNUMBER( SEARCH('13 Space Heating Costs'!$C$7:$AW$7,'12 Space Heating Subcomponents'!J21)) *'13 Space Heating Costs'!$C$12:$AW$12)</f>
        <v>8043.811155832007</v>
      </c>
      <c r="I19" s="140" cm="1">
        <f t="array" ref="I19">SUMPRODUCT(ISNUMBER( SEARCH('13 Space Heating Costs'!$C$7:$AW$7,'12 Space Heating Subcomponents'!K21)) *'13 Space Heating Costs'!$C$12:$AW$12)</f>
        <v>3751.2390292419855</v>
      </c>
      <c r="J19" s="140" cm="1">
        <f t="array" ref="J19">SUMPRODUCT(ISNUMBER( SEARCH('13 Space Heating Costs'!$C$7:$AW$7,'12 Space Heating Subcomponents'!L21)) *'13 Space Heating Costs'!$C$12:$AW$12)</f>
        <v>7140.3017473415903</v>
      </c>
      <c r="K19" s="140" cm="1">
        <f t="array" ref="K19">SUMPRODUCT(ISNUMBER( SEARCH('13 Space Heating Costs'!$C$7:$AW$7,'12 Space Heating Subcomponents'!M21)) *'13 Space Heating Costs'!$C$12:$AW$12)</f>
        <v>4349.9581913445982</v>
      </c>
      <c r="L19" s="140" cm="1">
        <f t="array" ref="L19">SUMPRODUCT(ISNUMBER( SEARCH('13 Space Heating Costs'!$C$7:$AW$7,'12 Space Heating Subcomponents'!N21)) *'13 Space Heating Costs'!$C$12:$AW$12)</f>
        <v>8156.7635975476178</v>
      </c>
      <c r="M19" s="140" cm="1">
        <f t="array" ref="M19">SUMPRODUCT(ISNUMBER( SEARCH('13 Space Heating Costs'!$C$7:$AW$7,'12 Space Heating Subcomponents'!O21)) *'13 Space Heating Costs'!$C$12:$AW$12)</f>
        <v>4349.9581913445982</v>
      </c>
      <c r="N19" s="142"/>
      <c r="O19" s="402" cm="1">
        <f t="array" ref="O19">SUMPRODUCT(ISNUMBER( SEARCH('13 Space Heating Costs'!$C$7:$AW$7,'12 Space Heating Subcomponents'!Q21)) *'13 Space Heating Costs'!$C$12:$AW$12)</f>
        <v>10242.755587327858</v>
      </c>
      <c r="P19" s="72"/>
      <c r="Q19" s="1105"/>
      <c r="R19" s="182" t="s">
        <v>86</v>
      </c>
      <c r="S19" s="182" t="s">
        <v>243</v>
      </c>
      <c r="T19" s="140" cm="1">
        <f t="array" ref="T19">SUMPRODUCT(ISNUMBER( SEARCH('13 Space Heating Costs'!$C$7:$AW$7,'12 Space Heating Subcomponents'!G37)) *'13 Space Heating Costs'!$C$12:$AW$12)</f>
        <v>3693.2239171981109</v>
      </c>
      <c r="U19" s="140" cm="1">
        <f t="array" ref="U19">SUMPRODUCT(ISNUMBER( SEARCH('13 Space Heating Costs'!$C$7:$AW$7,'12 Space Heating Subcomponents'!H37)) *'13 Space Heating Costs'!$C$12:$AW$12)</f>
        <v>5128.3356057531619</v>
      </c>
      <c r="V19" s="140" cm="1">
        <f t="array" ref="V19">SUMPRODUCT(ISNUMBER( SEARCH('13 Space Heating Costs'!$C$7:$AW$7,'12 Space Heating Subcomponents'!I37)) *'13 Space Heating Costs'!$C$12:$AW$12)</f>
        <v>7129.4584480694357</v>
      </c>
      <c r="W19" s="140" cm="1">
        <f t="array" ref="W19">SUMPRODUCT(ISNUMBER( SEARCH('13 Space Heating Costs'!$C$7:$AW$7,'12 Space Heating Subcomponents'!J37)) *'13 Space Heating Costs'!$C$12:$AW$12)</f>
        <v>8571.8273385893681</v>
      </c>
      <c r="X19" s="140" cm="1">
        <f t="array" ref="X19">SUMPRODUCT(ISNUMBER( SEARCH('13 Space Heating Costs'!$C$7:$AW$7,'12 Space Heating Subcomponents'!K37)) *'13 Space Heating Costs'!$C$12:$AW$12)</f>
        <v>4279.2552119993461</v>
      </c>
      <c r="Y19" s="140" cm="1">
        <f t="array" ref="Y19">SUMPRODUCT(ISNUMBER( SEARCH('13 Space Heating Costs'!$C$7:$AW$7,'12 Space Heating Subcomponents'!L37)) *'13 Space Heating Costs'!$C$12:$AW$12)</f>
        <v>7668.3179300989505</v>
      </c>
      <c r="Z19" s="140" cm="1">
        <f t="array" ref="Z19">SUMPRODUCT(ISNUMBER( SEARCH('13 Space Heating Costs'!$C$7:$AW$7,'12 Space Heating Subcomponents'!M37)) *'13 Space Heating Costs'!$C$12:$AW$12)</f>
        <v>4877.9743741019593</v>
      </c>
      <c r="AA19" s="140" cm="1">
        <f t="array" ref="AA19">SUMPRODUCT(ISNUMBER( SEARCH('13 Space Heating Costs'!$C$7:$AW$7,'12 Space Heating Subcomponents'!N37)) *'13 Space Heating Costs'!$C$12:$AW$12)</f>
        <v>8684.779780304978</v>
      </c>
      <c r="AB19" s="140" cm="1">
        <f t="array" ref="AB19">SUMPRODUCT(ISNUMBER( SEARCH('13 Space Heating Costs'!$C$7:$AW$7,'12 Space Heating Subcomponents'!O37)) *'13 Space Heating Costs'!$C$12:$AW$12)</f>
        <v>4877.9743741019593</v>
      </c>
      <c r="AC19" s="139"/>
      <c r="AD19" s="402" cm="1">
        <f t="array" ref="AD19">SUMPRODUCT(ISNUMBER( SEARCH('13 Space Heating Costs'!$C$7:$AW$7,'12 Space Heating Subcomponents'!Q37)) *'13 Space Heating Costs'!$C$12:$AW$12)</f>
        <v>10770.771770085219</v>
      </c>
      <c r="AE19" s="72"/>
      <c r="AF19" s="1105"/>
      <c r="AG19" s="182" t="s">
        <v>86</v>
      </c>
      <c r="AH19" s="182" t="s">
        <v>243</v>
      </c>
      <c r="AI19" s="140" cm="1">
        <f t="array" ref="AI19">SUMPRODUCT(ISNUMBER( SEARCH('13 Space Heating Costs'!$C$7:$AW$7,'12 Space Heating Subcomponents'!G53)) *'13 Space Heating Costs'!$C$12:$AW$12)</f>
        <v>2265.2039237587014</v>
      </c>
      <c r="AJ19" s="140" cm="1">
        <f t="array" ref="AJ19">SUMPRODUCT(ISNUMBER( SEARCH('13 Space Heating Costs'!$C$7:$AW$7,'12 Space Heating Subcomponents'!H53)) *'13 Space Heating Costs'!$C$12:$AW$12)</f>
        <v>3700.3156123137528</v>
      </c>
      <c r="AK19" s="140" cm="1">
        <f t="array" ref="AK19">SUMPRODUCT(ISNUMBER( SEARCH('13 Space Heating Costs'!$C$7:$AW$7,'12 Space Heating Subcomponents'!I53)) *'13 Space Heating Costs'!$C$12:$AW$12)</f>
        <v>5701.4384546300262</v>
      </c>
      <c r="AL19" s="140" cm="1">
        <f t="array" ref="AL19">SUMPRODUCT(ISNUMBER( SEARCH('13 Space Heating Costs'!$C$7:$AW$7,'12 Space Heating Subcomponents'!J53)) *'13 Space Heating Costs'!$C$12:$AW$12)</f>
        <v>7143.8073451499577</v>
      </c>
      <c r="AM19" s="140" cm="1">
        <f t="array" ref="AM19">SUMPRODUCT(ISNUMBER( SEARCH('13 Space Heating Costs'!$C$7:$AW$7,'12 Space Heating Subcomponents'!K53)) *'13 Space Heating Costs'!$C$12:$AW$12)</f>
        <v>2851.2352185599366</v>
      </c>
      <c r="AN19" s="140" cm="1">
        <f t="array" ref="AN19">SUMPRODUCT(ISNUMBER( SEARCH('13 Space Heating Costs'!$C$7:$AW$7,'12 Space Heating Subcomponents'!L53)) *'13 Space Heating Costs'!$C$12:$AW$12)</f>
        <v>6240.2979366595409</v>
      </c>
      <c r="AO19" s="140" cm="1">
        <f t="array" ref="AO19">SUMPRODUCT(ISNUMBER( SEARCH('13 Space Heating Costs'!$C$7:$AW$7,'12 Space Heating Subcomponents'!M53)) *'13 Space Heating Costs'!$C$12:$AW$12)</f>
        <v>3449.9543806625497</v>
      </c>
      <c r="AP19" s="140" cm="1">
        <f t="array" ref="AP19">SUMPRODUCT(ISNUMBER( SEARCH('13 Space Heating Costs'!$C$7:$AW$7,'12 Space Heating Subcomponents'!N53)) *'13 Space Heating Costs'!$C$12:$AW$12)</f>
        <v>7256.7597868655685</v>
      </c>
      <c r="AQ19" s="140" cm="1">
        <f t="array" ref="AQ19">SUMPRODUCT(ISNUMBER( SEARCH('13 Space Heating Costs'!$C$7:$AW$7,'12 Space Heating Subcomponents'!O53)) *'13 Space Heating Costs'!$C$12:$AW$12)</f>
        <v>3449.9543806625497</v>
      </c>
      <c r="AR19" s="139"/>
      <c r="AS19" s="402" cm="1">
        <f t="array" ref="AS19">SUMPRODUCT(ISNUMBER( SEARCH('13 Space Heating Costs'!$C$7:$AW$7,'12 Space Heating Subcomponents'!Q53)) *'13 Space Heating Costs'!$C$12:$AW$12)</f>
        <v>9342.7517766458095</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Costs'!$C$12:$AW$12)</f>
        <v>3990.4238676084055</v>
      </c>
      <c r="F20" s="403" cm="1">
        <f t="array" ref="F20">SUMPRODUCT(ISNUMBER( SEARCH('13 Space Heating Costs'!$C$7:$AW$7,'12 Space Heating Subcomponents'!H22)) *'13 Space Heating Costs'!$C$12:$AW$12)</f>
        <v>5425.5355561634569</v>
      </c>
      <c r="G20" s="403" cm="1">
        <f t="array" ref="G20">SUMPRODUCT(ISNUMBER( SEARCH('13 Space Heating Costs'!$C$7:$AW$7,'12 Space Heating Subcomponents'!I22)) *'13 Space Heating Costs'!$C$12:$AW$12)</f>
        <v>3983.1666656435254</v>
      </c>
      <c r="H20" s="403" cm="1">
        <f t="array" ref="H20">SUMPRODUCT(ISNUMBER( SEARCH('13 Space Heating Costs'!$C$7:$AW$7,'12 Space Heating Subcomponents'!J22)) *'13 Space Heating Costs'!$C$12:$AW$12)</f>
        <v>5425.5355561634569</v>
      </c>
      <c r="I20" s="403" cm="1">
        <f t="array" ref="I20">SUMPRODUCT(ISNUMBER( SEARCH('13 Space Heating Costs'!$C$7:$AW$7,'12 Space Heating Subcomponents'!K22)) *'13 Space Heating Costs'!$C$12:$AW$12)</f>
        <v>3819.8796214337217</v>
      </c>
      <c r="J20" s="403" cm="1">
        <f t="array" ref="J20">SUMPRODUCT(ISNUMBER( SEARCH('13 Space Heating Costs'!$C$7:$AW$7,'12 Space Heating Subcomponents'!L22)) *'13 Space Heating Costs'!$C$12:$AW$12)</f>
        <v>3765.4506066971207</v>
      </c>
      <c r="K20" s="403" cm="1">
        <f t="array" ref="K20">SUMPRODUCT(ISNUMBER( SEARCH('13 Space Heating Costs'!$C$7:$AW$7,'12 Space Heating Subcomponents'!M22)) *'13 Space Heating Costs'!$C$12:$AW$12)</f>
        <v>4418.5987835363348</v>
      </c>
      <c r="L20" s="403" cm="1">
        <f t="array" ref="L20">SUMPRODUCT(ISNUMBER( SEARCH('13 Space Heating Costs'!$C$7:$AW$7,'12 Space Heating Subcomponents'!N22)) *'13 Space Heating Costs'!$C$12:$AW$12)</f>
        <v>4781.9124569031483</v>
      </c>
      <c r="M20" s="403" cm="1">
        <f t="array" ref="M20">SUMPRODUCT(ISNUMBER( SEARCH('13 Space Heating Costs'!$C$7:$AW$7,'12 Space Heating Subcomponents'!O22)) *'13 Space Heating Costs'!$C$12:$AW$12)</f>
        <v>4418.5987835363348</v>
      </c>
      <c r="N20" s="403" cm="1">
        <f t="array" ref="N20">SUMPRODUCT(ISNUMBER( SEARCH('13 Space Heating Costs'!$C$7:$AW$7,'12 Space Heating Subcomponents'!P22)) *'13 Space Heating Costs'!$C$12:$AW$12)</f>
        <v>5044.5324530072485</v>
      </c>
      <c r="O20" s="426"/>
      <c r="P20" s="58"/>
      <c r="Q20" s="1106"/>
      <c r="R20" s="366" t="s">
        <v>252</v>
      </c>
      <c r="S20" s="366" t="s">
        <v>253</v>
      </c>
      <c r="T20" s="403" cm="1">
        <f t="array" ref="T20">SUMPRODUCT(ISNUMBER( SEARCH('13 Space Heating Costs'!$C$7:$AW$7,'12 Space Heating Subcomponents'!G38)) *'13 Space Heating Costs'!$C$12:$AW$12)</f>
        <v>3990.4238676084055</v>
      </c>
      <c r="U20" s="403" cm="1">
        <f t="array" ref="U20">SUMPRODUCT(ISNUMBER( SEARCH('13 Space Heating Costs'!$C$7:$AW$7,'12 Space Heating Subcomponents'!H38)) *'13 Space Heating Costs'!$C$12:$AW$12)</f>
        <v>5425.5355561634569</v>
      </c>
      <c r="V20" s="403" cm="1">
        <f t="array" ref="V20">SUMPRODUCT(ISNUMBER( SEARCH('13 Space Heating Costs'!$C$7:$AW$7,'12 Space Heating Subcomponents'!I38)) *'13 Space Heating Costs'!$C$12:$AW$12)</f>
        <v>3983.1666656435254</v>
      </c>
      <c r="W20" s="403" cm="1">
        <f t="array" ref="W20">SUMPRODUCT(ISNUMBER( SEARCH('13 Space Heating Costs'!$C$7:$AW$7,'12 Space Heating Subcomponents'!J38)) *'13 Space Heating Costs'!$C$12:$AW$12)</f>
        <v>5425.5355561634569</v>
      </c>
      <c r="X20" s="403" cm="1">
        <f t="array" ref="X20">SUMPRODUCT(ISNUMBER( SEARCH('13 Space Heating Costs'!$C$7:$AW$7,'12 Space Heating Subcomponents'!K38)) *'13 Space Heating Costs'!$C$12:$AW$12)</f>
        <v>3819.8796214337217</v>
      </c>
      <c r="Y20" s="403" cm="1">
        <f t="array" ref="Y20">SUMPRODUCT(ISNUMBER( SEARCH('13 Space Heating Costs'!$C$7:$AW$7,'12 Space Heating Subcomponents'!L38)) *'13 Space Heating Costs'!$C$12:$AW$12)</f>
        <v>3765.4506066971207</v>
      </c>
      <c r="Z20" s="403" cm="1">
        <f t="array" ref="Z20">SUMPRODUCT(ISNUMBER( SEARCH('13 Space Heating Costs'!$C$7:$AW$7,'12 Space Heating Subcomponents'!M38)) *'13 Space Heating Costs'!$C$12:$AW$12)</f>
        <v>4418.5987835363348</v>
      </c>
      <c r="AA20" s="403" cm="1">
        <f t="array" ref="AA20">SUMPRODUCT(ISNUMBER( SEARCH('13 Space Heating Costs'!$C$7:$AW$7,'12 Space Heating Subcomponents'!N38)) *'13 Space Heating Costs'!$C$12:$AW$12)</f>
        <v>4781.9124569031483</v>
      </c>
      <c r="AB20" s="403" cm="1">
        <f t="array" ref="AB20">SUMPRODUCT(ISNUMBER( SEARCH('13 Space Heating Costs'!$C$7:$AW$7,'12 Space Heating Subcomponents'!O38)) *'13 Space Heating Costs'!$C$12:$AW$12)</f>
        <v>4418.5987835363348</v>
      </c>
      <c r="AC20" s="403" cm="1">
        <f t="array" ref="AC20">SUMPRODUCT(ISNUMBER( SEARCH('13 Space Heating Costs'!$C$7:$AW$7,'12 Space Heating Subcomponents'!P38)) *'13 Space Heating Costs'!$C$12:$AW$12)</f>
        <v>5044.5324530072485</v>
      </c>
      <c r="AD20" s="516"/>
      <c r="AE20" s="58"/>
      <c r="AF20" s="1106"/>
      <c r="AG20" s="366" t="s">
        <v>252</v>
      </c>
      <c r="AH20" s="366" t="s">
        <v>253</v>
      </c>
      <c r="AI20" s="403" cm="1">
        <f t="array" ref="AI20">SUMPRODUCT(ISNUMBER( SEARCH('13 Space Heating Costs'!$C$7:$AW$7,'12 Space Heating Subcomponents'!G54)) *'13 Space Heating Costs'!$C$12:$AW$12)</f>
        <v>3990.4238676084055</v>
      </c>
      <c r="AJ20" s="403" cm="1">
        <f t="array" ref="AJ20">SUMPRODUCT(ISNUMBER( SEARCH('13 Space Heating Costs'!$C$7:$AW$7,'12 Space Heating Subcomponents'!H54)) *'13 Space Heating Costs'!$C$12:$AW$12)</f>
        <v>5425.5355561634569</v>
      </c>
      <c r="AK20" s="403" cm="1">
        <f t="array" ref="AK20">SUMPRODUCT(ISNUMBER( SEARCH('13 Space Heating Costs'!$C$7:$AW$7,'12 Space Heating Subcomponents'!I54)) *'13 Space Heating Costs'!$C$12:$AW$12)</f>
        <v>3983.1666656435254</v>
      </c>
      <c r="AL20" s="403" cm="1">
        <f t="array" ref="AL20">SUMPRODUCT(ISNUMBER( SEARCH('13 Space Heating Costs'!$C$7:$AW$7,'12 Space Heating Subcomponents'!J54)) *'13 Space Heating Costs'!$C$12:$AW$12)</f>
        <v>5425.5355561634569</v>
      </c>
      <c r="AM20" s="403" cm="1">
        <f t="array" ref="AM20">SUMPRODUCT(ISNUMBER( SEARCH('13 Space Heating Costs'!$C$7:$AW$7,'12 Space Heating Subcomponents'!K54)) *'13 Space Heating Costs'!$C$12:$AW$12)</f>
        <v>3819.8796214337217</v>
      </c>
      <c r="AN20" s="403" cm="1">
        <f t="array" ref="AN20">SUMPRODUCT(ISNUMBER( SEARCH('13 Space Heating Costs'!$C$7:$AW$7,'12 Space Heating Subcomponents'!L54)) *'13 Space Heating Costs'!$C$12:$AW$12)</f>
        <v>3765.4506066971207</v>
      </c>
      <c r="AO20" s="403" cm="1">
        <f t="array" ref="AO20">SUMPRODUCT(ISNUMBER( SEARCH('13 Space Heating Costs'!$C$7:$AW$7,'12 Space Heating Subcomponents'!M54)) *'13 Space Heating Costs'!$C$12:$AW$12)</f>
        <v>4418.5987835363348</v>
      </c>
      <c r="AP20" s="403" cm="1">
        <f t="array" ref="AP20">SUMPRODUCT(ISNUMBER( SEARCH('13 Space Heating Costs'!$C$7:$AW$7,'12 Space Heating Subcomponents'!N54)) *'13 Space Heating Costs'!$C$12:$AW$12)</f>
        <v>4781.9124569031483</v>
      </c>
      <c r="AQ20" s="403" cm="1">
        <f t="array" ref="AQ20">SUMPRODUCT(ISNUMBER( SEARCH('13 Space Heating Costs'!$C$7:$AW$7,'12 Space Heating Subcomponents'!O54)) *'13 Space Heating Costs'!$C$12:$AW$12)</f>
        <v>4418.5987835363348</v>
      </c>
      <c r="AR20" s="403" cm="1">
        <f t="array" ref="AR20">SUMPRODUCT(ISNUMBER( SEARCH('13 Space Heating Costs'!$C$7:$AW$7,'12 Space Heating Subcomponents'!P54)) *'13 Space Heating Costs'!$C$12:$AW$12)</f>
        <v>5044.5324530072485</v>
      </c>
      <c r="AS20" s="516"/>
      <c r="AT20" s="58"/>
    </row>
    <row r="21" spans="1:46" s="61" customFormat="1" ht="80.099999999999994"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A22" s="673"/>
      <c r="B22" s="1107" t="s">
        <v>1070</v>
      </c>
      <c r="C22" s="1108"/>
      <c r="D22" s="1108"/>
      <c r="E22" s="1108"/>
      <c r="F22" s="1108"/>
      <c r="G22" s="1108"/>
      <c r="H22" s="1109"/>
      <c r="I22"/>
      <c r="Q22" s="1107" t="s">
        <v>1071</v>
      </c>
      <c r="R22" s="1108"/>
      <c r="S22" s="1108"/>
      <c r="T22" s="1108"/>
      <c r="U22" s="1108"/>
      <c r="V22" s="1108"/>
      <c r="W22" s="1109"/>
      <c r="X22"/>
      <c r="AF22" s="1107" t="s">
        <v>1075</v>
      </c>
      <c r="AG22" s="1108"/>
      <c r="AH22" s="1108"/>
      <c r="AI22" s="1108"/>
      <c r="AJ22" s="1108"/>
      <c r="AK22" s="1108"/>
      <c r="AL22" s="1109"/>
      <c r="AM22" s="673"/>
      <c r="AN22" s="673"/>
      <c r="AO22" s="673"/>
      <c r="AP22" s="673"/>
      <c r="AQ22" s="673"/>
    </row>
    <row r="23" spans="1:46" s="5" customFormat="1" ht="36.950000000000003"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c r="AM23" s="675"/>
      <c r="AN23" s="675"/>
      <c r="AO23" s="675"/>
      <c r="AP23" s="675"/>
      <c r="AQ23" s="675"/>
    </row>
    <row r="24" spans="1:46" s="5" customFormat="1" ht="177"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c r="AM24" s="672"/>
      <c r="AN24" s="672"/>
      <c r="AO24" s="672"/>
      <c r="AP24" s="672"/>
      <c r="AQ24" s="672"/>
    </row>
    <row r="25" spans="1:46" s="5" customFormat="1" ht="39" customHeight="1" thickBot="1" x14ac:dyDescent="0.3">
      <c r="B25" s="1114"/>
      <c r="C25" s="1115"/>
      <c r="D25" s="1142"/>
      <c r="E25" s="1122"/>
      <c r="F25" s="1122"/>
      <c r="G25" s="1122"/>
      <c r="H25" s="1124"/>
      <c r="I25"/>
      <c r="Q25" s="1114"/>
      <c r="R25" s="1115"/>
      <c r="S25" s="1122"/>
      <c r="T25" s="1122"/>
      <c r="U25" s="1122"/>
      <c r="V25" s="1122"/>
      <c r="W25" s="1124"/>
      <c r="X25"/>
      <c r="AF25" s="1114"/>
      <c r="AG25" s="1115"/>
      <c r="AH25" s="179"/>
      <c r="AI25" s="179"/>
      <c r="AJ25" s="179"/>
      <c r="AK25" s="179"/>
      <c r="AL25" s="180"/>
      <c r="AM25" s="676"/>
      <c r="AN25" s="676"/>
      <c r="AO25" s="676"/>
      <c r="AP25" s="676"/>
      <c r="AQ25" s="676"/>
    </row>
    <row r="26" spans="1:46" s="5" customFormat="1" ht="200.1" customHeight="1" thickBot="1" x14ac:dyDescent="0.3">
      <c r="B26" s="1104" t="s">
        <v>952</v>
      </c>
      <c r="C26" s="683" t="s">
        <v>246</v>
      </c>
      <c r="D26" s="685" cm="1">
        <f t="array" ref="D26">SUMPRODUCT(ISNUMBER(SEARCH('16 Water Heating Costs'!$E$42:$AE$42,'16 Water Heating Costs'!F10)) *'16 Water Heating Costs'!$E$47:$AE$47)</f>
        <v>0</v>
      </c>
      <c r="E26" s="684" cm="1">
        <f t="array" ref="E26">SUMPRODUCT(ISNUMBER(SEARCH('16 Water Heating Costs'!$E$42:$AE$42,'16 Water Heating Costs'!G10)) *'16 Water Heating Costs'!$E$47:$AE$47)</f>
        <v>1272.1992182145827</v>
      </c>
      <c r="F26" s="143" cm="1">
        <f t="array" ref="F26">SUMPRODUCT(ISNUMBER(SEARCH('16 Water Heating Costs'!$E$42:$AE$42,'16 Water Heating Costs'!H10)) *'16 Water Heating Costs'!$E$47:$AE$47)</f>
        <v>1272.1992182145827</v>
      </c>
      <c r="G26" s="143" cm="1">
        <f t="array" ref="G26">SUMPRODUCT(ISNUMBER(SEARCH('16 Water Heating Costs'!$E$42:$AE$42,'16 Water Heating Costs'!I10)) *'16 Water Heating Costs'!$E$47:$AE$47)</f>
        <v>1272.1992182145827</v>
      </c>
      <c r="H26" s="150" cm="1">
        <f t="array" ref="H26">SUMPRODUCT(ISNUMBER(SEARCH('16 Water Heating Costs'!$E$42:$AE$42,'16 Water Heating Costs'!J10)) *'16 Water Heating Costs'!$E$47:$AE$47)</f>
        <v>987.15995002967838</v>
      </c>
      <c r="I26"/>
      <c r="Q26" s="1104" t="s">
        <v>952</v>
      </c>
      <c r="R26" s="149" t="s">
        <v>246</v>
      </c>
      <c r="S26" s="143" cm="1">
        <f t="array" ref="S26">SUMPRODUCT(ISNUMBER(SEARCH('16 Water Heating Costs'!$E$42:$AE$42,'16 Water Heating Costs'!N10)) *'16 Water Heating Costs'!$E$47:$AE$47)</f>
        <v>0</v>
      </c>
      <c r="T26" s="143" cm="1">
        <f t="array" ref="T26">SUMPRODUCT(ISNUMBER(SEARCH('16 Water Heating Costs'!$E$42:$AE$42,'16 Water Heating Costs'!O10)) *'16 Water Heating Costs'!$E$47:$AE$47)</f>
        <v>1272.1992182145827</v>
      </c>
      <c r="U26" s="143" cm="1">
        <f t="array" ref="U26">SUMPRODUCT(ISNUMBER(SEARCH('16 Water Heating Costs'!$E$42:$AE$42,'16 Water Heating Costs'!P10)) *'16 Water Heating Costs'!$E$47:$AE$47)</f>
        <v>1272.1992182145827</v>
      </c>
      <c r="V26" s="143" cm="1">
        <f t="array" ref="V26">SUMPRODUCT(ISNUMBER(SEARCH('16 Water Heating Costs'!$E$42:$AE$42,'16 Water Heating Costs'!Q10)) *'16 Water Heating Costs'!$E$47:$AE$47)</f>
        <v>1272.1992182145827</v>
      </c>
      <c r="W26" s="150" cm="1">
        <f t="array" ref="W26">SUMPRODUCT(ISNUMBER(SEARCH('16 Water Heating Costs'!$E$42:$AE$42,'16 Water Heating Costs'!R10)) *'16 Water Heating Costs'!$E$47:$AE$47)</f>
        <v>987.15995002967838</v>
      </c>
      <c r="X26"/>
      <c r="AF26" s="1104" t="s">
        <v>952</v>
      </c>
      <c r="AG26" s="149" t="s">
        <v>246</v>
      </c>
      <c r="AH26" s="143" cm="1">
        <f t="array" ref="AH26">SUMPRODUCT(ISNUMBER(SEARCH('16 Water Heating Costs'!$E$42:$AE$42,'16 Water Heating Costs'!V10)) *'16 Water Heating Costs'!$E$47:$AE$47)</f>
        <v>0</v>
      </c>
      <c r="AI26" s="143" cm="1">
        <f t="array" ref="AI26">SUMPRODUCT(ISNUMBER(SEARCH('16 Water Heating Costs'!$E$42:$AE$42,'16 Water Heating Costs'!W10)) *'16 Water Heating Costs'!$E$47:$AE$47)</f>
        <v>1272.1992182145827</v>
      </c>
      <c r="AJ26" s="143" cm="1">
        <f t="array" ref="AJ26">SUMPRODUCT(ISNUMBER(SEARCH('16 Water Heating Costs'!$E$42:$AE$42,'16 Water Heating Costs'!X10)) *'16 Water Heating Costs'!$E$47:$AE$47)</f>
        <v>1272.1992182145827</v>
      </c>
      <c r="AK26" s="143" cm="1">
        <f t="array" ref="AK26">SUMPRODUCT(ISNUMBER(SEARCH('16 Water Heating Costs'!$E$42:$AE$42,'16 Water Heating Costs'!Y10)) *'16 Water Heating Costs'!$E$47:$AE$47)</f>
        <v>1272.1992182145827</v>
      </c>
      <c r="AL26" s="150" cm="1">
        <f t="array" ref="AL26">SUMPRODUCT(ISNUMBER(SEARCH('16 Water Heating Costs'!$E$42:$AE$42,'16 Water Heating Costs'!Z10)) *'16 Water Heating Costs'!$E$47:$AE$47)</f>
        <v>987.15995002967838</v>
      </c>
      <c r="AM26" s="681"/>
      <c r="AN26" s="681"/>
      <c r="AO26" s="681"/>
      <c r="AP26" s="681"/>
      <c r="AQ26" s="681"/>
    </row>
    <row r="27" spans="1:46" s="5" customFormat="1" ht="200.1" customHeight="1" x14ac:dyDescent="0.25">
      <c r="B27" s="1105"/>
      <c r="C27" s="152" t="s">
        <v>244</v>
      </c>
      <c r="D27" s="139"/>
      <c r="E27" s="142"/>
      <c r="F27" s="142"/>
      <c r="G27" s="142"/>
      <c r="H27" s="144"/>
      <c r="I27"/>
      <c r="Q27" s="1105"/>
      <c r="R27" s="152" t="s">
        <v>244</v>
      </c>
      <c r="S27" s="142"/>
      <c r="T27" s="142"/>
      <c r="U27" s="142"/>
      <c r="V27" s="142"/>
      <c r="W27" s="144"/>
      <c r="X27"/>
      <c r="AF27" s="1119"/>
      <c r="AG27" s="152" t="s">
        <v>244</v>
      </c>
      <c r="AH27" s="142"/>
      <c r="AI27" s="142"/>
      <c r="AJ27" s="142"/>
      <c r="AK27" s="142"/>
      <c r="AL27" s="144"/>
      <c r="AM27" s="681"/>
      <c r="AN27" s="681"/>
      <c r="AO27" s="681"/>
      <c r="AP27" s="681"/>
      <c r="AQ27" s="681"/>
    </row>
    <row r="28" spans="1:46" s="5" customFormat="1" ht="200.1" customHeight="1" x14ac:dyDescent="0.25">
      <c r="B28" s="1105"/>
      <c r="C28" s="152" t="s">
        <v>86</v>
      </c>
      <c r="D28" s="143" cm="1">
        <f t="array" ref="D28">SUMPRODUCT(ISNUMBER(SEARCH('16 Water Heating Costs'!$E$42:$AE$42,'16 Water Heating Costs'!F12)) *'16 Water Heating Costs'!$E$47:$AE$47)</f>
        <v>4193.3294423694633</v>
      </c>
      <c r="E28" s="143" cm="1">
        <f t="array" ref="E28">SUMPRODUCT(ISNUMBER(SEARCH('16 Water Heating Costs'!$E$42:$AE$42,'16 Water Heating Costs'!G12)) *'16 Water Heating Costs'!$E$47:$AE$47)</f>
        <v>3641.7931695784487</v>
      </c>
      <c r="F28" s="143" cm="1">
        <f t="array" ref="F28">SUMPRODUCT(ISNUMBER(SEARCH('16 Water Heating Costs'!$E$42:$AE$42,'16 Water Heating Costs'!H12)) *'16 Water Heating Costs'!$E$47:$AE$47)</f>
        <v>2727.7387809182496</v>
      </c>
      <c r="G28" s="143" cm="1">
        <f t="array" ref="G28">SUMPRODUCT(ISNUMBER(SEARCH('16 Water Heating Costs'!$E$42:$AE$42,'16 Water Heating Costs'!I12)) *'16 Water Heating Costs'!$E$47:$AE$47)</f>
        <v>3641.7931695784487</v>
      </c>
      <c r="H28" s="150" cm="1">
        <f t="array" ref="H28">SUMPRODUCT(ISNUMBER(SEARCH('16 Water Heating Costs'!$E$42:$AE$42,'16 Water Heating Costs'!J12)) *'16 Water Heating Costs'!$E$47:$AE$47)</f>
        <v>4193.3294423694633</v>
      </c>
      <c r="I28"/>
      <c r="Q28" s="1105"/>
      <c r="R28" s="152" t="s">
        <v>86</v>
      </c>
      <c r="S28" s="143" cm="1">
        <f t="array" ref="S28">SUMPRODUCT(ISNUMBER(SEARCH('16 Water Heating Costs'!$E$42:$AE$42,'16 Water Heating Costs'!N12)) *'16 Water Heating Costs'!$E$47:$AE$47)</f>
        <v>4642.1247226570749</v>
      </c>
      <c r="T28" s="143" cm="1">
        <f t="array" ref="T28">SUMPRODUCT(ISNUMBER(SEARCH('16 Water Heating Costs'!$E$42:$AE$42,'16 Water Heating Costs'!O12)) *'16 Water Heating Costs'!$E$47:$AE$47)</f>
        <v>4090.5884498660603</v>
      </c>
      <c r="U28" s="143" cm="1">
        <f t="array" ref="U28">SUMPRODUCT(ISNUMBER(SEARCH('16 Water Heating Costs'!$E$42:$AE$42,'16 Water Heating Costs'!P12)) *'16 Water Heating Costs'!$E$47:$AE$47)</f>
        <v>3176.5340612058612</v>
      </c>
      <c r="V28" s="143" cm="1">
        <f t="array" ref="V28">SUMPRODUCT(ISNUMBER(SEARCH('16 Water Heating Costs'!$E$42:$AE$42,'16 Water Heating Costs'!Q12)) *'16 Water Heating Costs'!$E$47:$AE$47)</f>
        <v>4090.5884498660603</v>
      </c>
      <c r="W28" s="150" cm="1">
        <f t="array" ref="W28">SUMPRODUCT(ISNUMBER(SEARCH('16 Water Heating Costs'!$E$42:$AE$42,'16 Water Heating Costs'!R12)) *'16 Water Heating Costs'!$E$47:$AE$47)</f>
        <v>4642.1247226570749</v>
      </c>
      <c r="X28"/>
      <c r="AF28" s="1119"/>
      <c r="AG28" s="152" t="s">
        <v>86</v>
      </c>
      <c r="AH28" s="143" cm="1">
        <f t="array" ref="AH28">SUMPRODUCT(ISNUMBER(SEARCH('16 Water Heating Costs'!$E$42:$AE$42,'16 Water Heating Costs'!V12)) *'16 Water Heating Costs'!$E$47:$AE$47)</f>
        <v>3428.3576940308681</v>
      </c>
      <c r="AI28" s="143" cm="1">
        <f t="array" ref="AI28">SUMPRODUCT(ISNUMBER(SEARCH('16 Water Heating Costs'!$E$42:$AE$42,'16 Water Heating Costs'!W12)) *'16 Water Heating Costs'!$E$47:$AE$47)</f>
        <v>2876.8214212398534</v>
      </c>
      <c r="AJ28" s="143" cm="1">
        <f t="array" ref="AJ28">SUMPRODUCT(ISNUMBER(SEARCH('16 Water Heating Costs'!$E$42:$AE$42,'16 Water Heating Costs'!X12)) *'16 Water Heating Costs'!$E$47:$AE$47)</f>
        <v>1962.7670325796546</v>
      </c>
      <c r="AK28" s="143" cm="1">
        <f t="array" ref="AK28">SUMPRODUCT(ISNUMBER(SEARCH('16 Water Heating Costs'!$E$42:$AE$42,'16 Water Heating Costs'!Y12)) *'16 Water Heating Costs'!$E$47:$AE$47)</f>
        <v>2876.8214212398534</v>
      </c>
      <c r="AL28" s="150" cm="1">
        <f t="array" ref="AL28">SUMPRODUCT(ISNUMBER(SEARCH('16 Water Heating Costs'!$E$42:$AE$42,'16 Water Heating Costs'!Z12)) *'16 Water Heating Costs'!$E$47:$AE$47)</f>
        <v>3428.3576940308681</v>
      </c>
      <c r="AM28" s="681"/>
      <c r="AN28" s="681"/>
      <c r="AO28" s="681"/>
      <c r="AP28" s="681"/>
      <c r="AQ28" s="681"/>
    </row>
    <row r="29" spans="1:46" s="5" customFormat="1" ht="200.1" customHeight="1" x14ac:dyDescent="0.25">
      <c r="B29" s="1105"/>
      <c r="C29" s="152" t="s">
        <v>242</v>
      </c>
      <c r="D29" s="143" cm="1">
        <f t="array" ref="D29">SUMPRODUCT(ISNUMBER(SEARCH('16 Water Heating Costs'!$E$42:$AE$42,'16 Water Heating Costs'!F13)) *'16 Water Heating Costs'!$E$47:$AE$47)</f>
        <v>4193.3294423694633</v>
      </c>
      <c r="E29" s="143" cm="1">
        <f t="array" ref="E29">SUMPRODUCT(ISNUMBER(SEARCH('16 Water Heating Costs'!$E$42:$AE$42,'16 Water Heating Costs'!G13)) *'16 Water Heating Costs'!$E$47:$AE$47)</f>
        <v>3641.7931695784487</v>
      </c>
      <c r="F29" s="143" cm="1">
        <f t="array" ref="F29">SUMPRODUCT(ISNUMBER(SEARCH('16 Water Heating Costs'!$E$42:$AE$42,'16 Water Heating Costs'!H13)) *'16 Water Heating Costs'!$E$47:$AE$47)</f>
        <v>3641.7931695784487</v>
      </c>
      <c r="G29" s="143" cm="1">
        <f t="array" ref="G29">SUMPRODUCT(ISNUMBER(SEARCH('16 Water Heating Costs'!$E$42:$AE$42,'16 Water Heating Costs'!I13)) *'16 Water Heating Costs'!$E$47:$AE$47)</f>
        <v>2727.7387809182496</v>
      </c>
      <c r="H29" s="150" cm="1">
        <f t="array" ref="H29">SUMPRODUCT(ISNUMBER(SEARCH('16 Water Heating Costs'!$E$42:$AE$42,'16 Water Heating Costs'!J13)) *'16 Water Heating Costs'!$E$47:$AE$47)</f>
        <v>4193.3294423694633</v>
      </c>
      <c r="I29"/>
      <c r="Q29" s="1105"/>
      <c r="R29" s="152" t="s">
        <v>242</v>
      </c>
      <c r="S29" s="143" cm="1">
        <f t="array" ref="S29">SUMPRODUCT(ISNUMBER(SEARCH('16 Water Heating Costs'!$E$42:$AE$42,'16 Water Heating Costs'!N13)) *'16 Water Heating Costs'!$E$47:$AE$47)</f>
        <v>4642.1247226570749</v>
      </c>
      <c r="T29" s="143" cm="1">
        <f t="array" ref="T29">SUMPRODUCT(ISNUMBER(SEARCH('16 Water Heating Costs'!$E$42:$AE$42,'16 Water Heating Costs'!O13)) *'16 Water Heating Costs'!$E$47:$AE$47)</f>
        <v>4090.5884498660603</v>
      </c>
      <c r="U29" s="143" cm="1">
        <f t="array" ref="U29">SUMPRODUCT(ISNUMBER(SEARCH('16 Water Heating Costs'!$E$42:$AE$42,'16 Water Heating Costs'!P13)) *'16 Water Heating Costs'!$E$47:$AE$47)</f>
        <v>4090.5884498660603</v>
      </c>
      <c r="V29" s="143" cm="1">
        <f t="array" ref="V29">SUMPRODUCT(ISNUMBER(SEARCH('16 Water Heating Costs'!$E$42:$AE$42,'16 Water Heating Costs'!Q13)) *'16 Water Heating Costs'!$E$47:$AE$47)</f>
        <v>3176.5340612058612</v>
      </c>
      <c r="W29" s="150" cm="1">
        <f t="array" ref="W29">SUMPRODUCT(ISNUMBER(SEARCH('16 Water Heating Costs'!$E$42:$AE$42,'16 Water Heating Costs'!R13)) *'16 Water Heating Costs'!$E$47:$AE$47)</f>
        <v>4642.1247226570749</v>
      </c>
      <c r="X29"/>
      <c r="AF29" s="1119"/>
      <c r="AG29" s="152" t="s">
        <v>242</v>
      </c>
      <c r="AH29" s="143" cm="1">
        <f t="array" ref="AH29">SUMPRODUCT(ISNUMBER(SEARCH('16 Water Heating Costs'!$E$42:$AE$42,'16 Water Heating Costs'!V13)) *'16 Water Heating Costs'!$E$47:$AE$47)</f>
        <v>3428.3576940308681</v>
      </c>
      <c r="AI29" s="143" cm="1">
        <f t="array" ref="AI29">SUMPRODUCT(ISNUMBER(SEARCH('16 Water Heating Costs'!$E$42:$AE$42,'16 Water Heating Costs'!W13)) *'16 Water Heating Costs'!$E$47:$AE$47)</f>
        <v>2876.8214212398534</v>
      </c>
      <c r="AJ29" s="143" cm="1">
        <f t="array" ref="AJ29">SUMPRODUCT(ISNUMBER(SEARCH('16 Water Heating Costs'!$E$42:$AE$42,'16 Water Heating Costs'!X13)) *'16 Water Heating Costs'!$E$47:$AE$47)</f>
        <v>2876.8214212398534</v>
      </c>
      <c r="AK29" s="143" cm="1">
        <f t="array" ref="AK29">SUMPRODUCT(ISNUMBER(SEARCH('16 Water Heating Costs'!$E$42:$AE$42,'16 Water Heating Costs'!Y13)) *'16 Water Heating Costs'!$E$47:$AE$47)</f>
        <v>1962.7670325796546</v>
      </c>
      <c r="AL29" s="150" cm="1">
        <f t="array" ref="AL29">SUMPRODUCT(ISNUMBER(SEARCH('16 Water Heating Costs'!$E$42:$AE$42,'16 Water Heating Costs'!Z13)) *'16 Water Heating Costs'!$E$47:$AE$47)</f>
        <v>3428.3576940308681</v>
      </c>
      <c r="AM29" s="681"/>
      <c r="AN29" s="681"/>
      <c r="AO29" s="681"/>
      <c r="AP29" s="681"/>
      <c r="AQ29" s="681"/>
    </row>
    <row r="30" spans="1:46" s="5" customFormat="1" ht="200.1" customHeight="1" thickBot="1" x14ac:dyDescent="0.3">
      <c r="B30" s="1106"/>
      <c r="C30" s="153" t="s">
        <v>172</v>
      </c>
      <c r="D30" s="145"/>
      <c r="E30" s="145"/>
      <c r="F30" s="145"/>
      <c r="G30" s="145"/>
      <c r="H30" s="426"/>
      <c r="I30"/>
      <c r="Q30" s="1106"/>
      <c r="R30" s="153" t="s">
        <v>172</v>
      </c>
      <c r="S30" s="145"/>
      <c r="T30" s="145"/>
      <c r="U30" s="145"/>
      <c r="V30" s="145"/>
      <c r="W30" s="426"/>
      <c r="X30"/>
      <c r="AF30" s="1120"/>
      <c r="AG30" s="153" t="s">
        <v>172</v>
      </c>
      <c r="AH30" s="145"/>
      <c r="AI30" s="145"/>
      <c r="AJ30" s="145"/>
      <c r="AK30" s="145"/>
      <c r="AL30" s="426"/>
      <c r="AM30" s="681"/>
      <c r="AN30" s="681"/>
      <c r="AO30" s="681"/>
      <c r="AP30" s="681"/>
      <c r="AQ30" s="681"/>
    </row>
    <row r="31" spans="1:46" s="59" customFormat="1" ht="80.099999999999994" customHeight="1" thickBot="1" x14ac:dyDescent="0.3">
      <c r="A31" s="154"/>
      <c r="B31"/>
      <c r="C31"/>
      <c r="D31"/>
      <c r="E31"/>
      <c r="F31"/>
      <c r="G31"/>
      <c r="H31"/>
      <c r="I31"/>
      <c r="J31" s="5"/>
      <c r="K31" s="5"/>
      <c r="L31" s="5"/>
      <c r="M31" s="5"/>
      <c r="N31" s="5"/>
      <c r="O31" s="5"/>
      <c r="P31" s="5"/>
      <c r="Q31"/>
      <c r="R31"/>
      <c r="S31"/>
      <c r="T31"/>
      <c r="U31"/>
      <c r="V31"/>
      <c r="W31"/>
      <c r="X31"/>
      <c r="Y31" s="5"/>
      <c r="Z31" s="5"/>
      <c r="AA31" s="5"/>
      <c r="AB31" s="5"/>
      <c r="AC31" s="5"/>
      <c r="AD31" s="5"/>
      <c r="AE31" s="5"/>
      <c r="AF31"/>
      <c r="AG31"/>
      <c r="AH31"/>
      <c r="AI31"/>
      <c r="AJ31"/>
      <c r="AK31"/>
      <c r="AL31"/>
    </row>
    <row r="32" spans="1:46" ht="175.15" customHeight="1" x14ac:dyDescent="0.25">
      <c r="A32" s="60"/>
      <c r="B32" s="1107" t="s">
        <v>1073</v>
      </c>
      <c r="C32" s="1108"/>
      <c r="D32" s="1108"/>
      <c r="E32" s="1108"/>
      <c r="F32" s="1108"/>
      <c r="G32" s="1108"/>
      <c r="H32" s="1109"/>
      <c r="I32"/>
      <c r="P32" s="5"/>
      <c r="Q32" s="1107" t="s">
        <v>1072</v>
      </c>
      <c r="R32" s="1108"/>
      <c r="S32" s="1108"/>
      <c r="T32" s="1108"/>
      <c r="U32" s="1108"/>
      <c r="V32" s="1108"/>
      <c r="W32" s="1109"/>
      <c r="X32"/>
      <c r="Y32" s="5"/>
      <c r="Z32" s="5"/>
      <c r="AA32" s="5"/>
      <c r="AB32" s="5"/>
      <c r="AC32" s="5"/>
      <c r="AD32" s="5"/>
      <c r="AE32" s="5"/>
      <c r="AF32" s="1107" t="s">
        <v>1076</v>
      </c>
      <c r="AG32" s="1108"/>
      <c r="AH32" s="1108"/>
      <c r="AI32" s="1108"/>
      <c r="AJ32" s="1108"/>
      <c r="AK32" s="1108"/>
      <c r="AL32" s="1109"/>
      <c r="AM32" s="72"/>
    </row>
    <row r="33" spans="1:39" ht="79.900000000000006" customHeight="1" x14ac:dyDescent="0.25">
      <c r="A33" s="60"/>
      <c r="B33" s="1110" t="s">
        <v>977</v>
      </c>
      <c r="C33" s="1111"/>
      <c r="D33" s="1116" t="s">
        <v>951</v>
      </c>
      <c r="E33" s="1117"/>
      <c r="F33" s="1117"/>
      <c r="G33" s="1117"/>
      <c r="H33" s="1118"/>
      <c r="I33"/>
      <c r="P33" s="5"/>
      <c r="Q33" s="1110" t="s">
        <v>977</v>
      </c>
      <c r="R33" s="1111"/>
      <c r="S33" s="1116" t="s">
        <v>951</v>
      </c>
      <c r="T33" s="1117"/>
      <c r="U33" s="1117"/>
      <c r="V33" s="1117"/>
      <c r="W33" s="1118"/>
      <c r="X33"/>
      <c r="Y33" s="5"/>
      <c r="Z33" s="5"/>
      <c r="AA33" s="5"/>
      <c r="AB33" s="5"/>
      <c r="AC33" s="5"/>
      <c r="AD33" s="5"/>
      <c r="AE33" s="5"/>
      <c r="AF33" s="1110" t="s">
        <v>977</v>
      </c>
      <c r="AG33" s="1111"/>
      <c r="AH33" s="1116" t="s">
        <v>951</v>
      </c>
      <c r="AI33" s="1117"/>
      <c r="AJ33" s="1117"/>
      <c r="AK33" s="1117"/>
      <c r="AL33" s="1118"/>
      <c r="AM33" s="72"/>
    </row>
    <row r="34" spans="1:39" ht="79.900000000000006" customHeight="1" x14ac:dyDescent="0.25">
      <c r="A34" s="60"/>
      <c r="B34" s="1112"/>
      <c r="C34" s="1113"/>
      <c r="D34" s="1121" t="s">
        <v>246</v>
      </c>
      <c r="E34" s="1121" t="s">
        <v>244</v>
      </c>
      <c r="F34" s="1121" t="s">
        <v>86</v>
      </c>
      <c r="G34" s="1121" t="s">
        <v>242</v>
      </c>
      <c r="H34" s="1123" t="s">
        <v>172</v>
      </c>
      <c r="I34"/>
      <c r="P34" s="5"/>
      <c r="Q34" s="1112"/>
      <c r="R34" s="1113"/>
      <c r="S34" s="1121" t="s">
        <v>246</v>
      </c>
      <c r="T34" s="1121" t="s">
        <v>244</v>
      </c>
      <c r="U34" s="1121" t="s">
        <v>86</v>
      </c>
      <c r="V34" s="1121" t="s">
        <v>242</v>
      </c>
      <c r="W34" s="1123" t="s">
        <v>172</v>
      </c>
      <c r="X34"/>
      <c r="Y34" s="5"/>
      <c r="Z34" s="5"/>
      <c r="AA34" s="5"/>
      <c r="AB34" s="5"/>
      <c r="AC34" s="5"/>
      <c r="AD34" s="5"/>
      <c r="AE34" s="5"/>
      <c r="AF34" s="1112"/>
      <c r="AG34" s="1113"/>
      <c r="AH34" s="668" t="s">
        <v>246</v>
      </c>
      <c r="AI34" s="668" t="s">
        <v>244</v>
      </c>
      <c r="AJ34" s="668" t="s">
        <v>86</v>
      </c>
      <c r="AK34" s="668" t="s">
        <v>242</v>
      </c>
      <c r="AL34" s="677" t="s">
        <v>172</v>
      </c>
      <c r="AM34" s="72"/>
    </row>
    <row r="35" spans="1:39" ht="79.900000000000006" customHeight="1" x14ac:dyDescent="0.25">
      <c r="A35" s="60"/>
      <c r="B35" s="1114"/>
      <c r="C35" s="1115"/>
      <c r="D35" s="1122"/>
      <c r="E35" s="1122"/>
      <c r="F35" s="1122"/>
      <c r="G35" s="1122"/>
      <c r="H35" s="1124"/>
      <c r="I35"/>
      <c r="P35" s="5"/>
      <c r="Q35" s="1114"/>
      <c r="R35" s="1115"/>
      <c r="S35" s="1122"/>
      <c r="T35" s="1122"/>
      <c r="U35" s="1122"/>
      <c r="V35" s="1122"/>
      <c r="W35" s="1124"/>
      <c r="X35"/>
      <c r="Y35" s="5"/>
      <c r="Z35" s="5"/>
      <c r="AA35" s="5"/>
      <c r="AB35" s="5"/>
      <c r="AC35" s="5"/>
      <c r="AD35" s="5"/>
      <c r="AE35" s="5"/>
      <c r="AF35" s="1114"/>
      <c r="AG35" s="1115"/>
      <c r="AH35" s="179"/>
      <c r="AI35" s="179"/>
      <c r="AJ35" s="179"/>
      <c r="AK35" s="179"/>
      <c r="AL35" s="180"/>
      <c r="AM35" s="72"/>
    </row>
    <row r="36" spans="1:39" ht="199.9" customHeight="1" x14ac:dyDescent="0.25">
      <c r="A36" s="60"/>
      <c r="B36" s="1104" t="s">
        <v>989</v>
      </c>
      <c r="C36" s="149" t="s">
        <v>246</v>
      </c>
      <c r="D36" s="142"/>
      <c r="E36" s="143" cm="1">
        <f t="array" ref="E36">SUMPRODUCT(ISNUMBER(SEARCH('16 Water Heating Costs'!$E$42:$AE$42,'16 Water Heating Costs'!G22)) *'16 Water Heating Costs'!$E$47:$AE$47)</f>
        <v>1272.1992182145827</v>
      </c>
      <c r="F36" s="143" cm="1">
        <f t="array" ref="F36">SUMPRODUCT(ISNUMBER(SEARCH('16 Water Heating Costs'!$E$42:$AE$42,'16 Water Heating Costs'!H22)) *'16 Water Heating Costs'!$E$47:$AE$47)</f>
        <v>1272.1992182145827</v>
      </c>
      <c r="G36" s="143" cm="1">
        <f t="array" ref="G36">SUMPRODUCT(ISNUMBER(SEARCH('16 Water Heating Costs'!$E$42:$AE$42,'16 Water Heating Costs'!I22)) *'16 Water Heating Costs'!$E$47:$AE$47)</f>
        <v>1272.1992182145827</v>
      </c>
      <c r="H36" s="150" cm="1">
        <f t="array" ref="H36">SUMPRODUCT(ISNUMBER(SEARCH('16 Water Heating Costs'!$E$42:$AE$42,'16 Water Heating Costs'!J22)) *'16 Water Heating Costs'!$E$47:$AE$47)</f>
        <v>987.15995002967838</v>
      </c>
      <c r="I36"/>
      <c r="P36" s="5"/>
      <c r="Q36" s="1104" t="s">
        <v>989</v>
      </c>
      <c r="R36" s="149" t="s">
        <v>246</v>
      </c>
      <c r="S36" s="142"/>
      <c r="T36" s="143" cm="1">
        <f t="array" ref="T36">SUMPRODUCT(ISNUMBER(SEARCH('16 Water Heating Costs'!$E$42:$AE$42,'16 Water Heating Costs'!O22)) *'16 Water Heating Costs'!$E$47:$AE$47)</f>
        <v>1272.1992182145827</v>
      </c>
      <c r="U36" s="143" cm="1">
        <f t="array" ref="U36">SUMPRODUCT(ISNUMBER(SEARCH('16 Water Heating Costs'!$E$42:$AE$42,'16 Water Heating Costs'!P22)) *'16 Water Heating Costs'!$E$47:$AE$47)</f>
        <v>1272.1992182145827</v>
      </c>
      <c r="V36" s="143" cm="1">
        <f t="array" ref="V36">SUMPRODUCT(ISNUMBER(SEARCH('16 Water Heating Costs'!$E$42:$AE$42,'16 Water Heating Costs'!Q22)) *'16 Water Heating Costs'!$E$47:$AE$47)</f>
        <v>1272.1992182145827</v>
      </c>
      <c r="W36" s="150" cm="1">
        <f t="array" ref="W36">SUMPRODUCT(ISNUMBER(SEARCH('16 Water Heating Costs'!$E$42:$AE$42,'16 Water Heating Costs'!R22)) *'16 Water Heating Costs'!$E$47:$AE$47)</f>
        <v>987.15995002967838</v>
      </c>
      <c r="X36"/>
      <c r="Y36" s="5"/>
      <c r="Z36" s="5"/>
      <c r="AA36" s="5"/>
      <c r="AB36" s="5"/>
      <c r="AC36" s="5"/>
      <c r="AD36" s="5"/>
      <c r="AE36" s="5"/>
      <c r="AF36" s="1104" t="s">
        <v>989</v>
      </c>
      <c r="AG36" s="149" t="s">
        <v>246</v>
      </c>
      <c r="AH36" s="142"/>
      <c r="AI36" s="143" cm="1">
        <f t="array" ref="AI36">SUMPRODUCT(ISNUMBER(SEARCH('16 Water Heating Costs'!$E$42:$AE$42,'16 Water Heating Costs'!W22)) *'16 Water Heating Costs'!$E$47:$AE$47)</f>
        <v>1272.1992182145827</v>
      </c>
      <c r="AJ36" s="143" cm="1">
        <f t="array" ref="AJ36">SUMPRODUCT(ISNUMBER(SEARCH('16 Water Heating Costs'!$E$42:$AE$42,'16 Water Heating Costs'!X22)) *'16 Water Heating Costs'!$E$47:$AE$47)</f>
        <v>1272.1992182145827</v>
      </c>
      <c r="AK36" s="143" cm="1">
        <f t="array" ref="AK36">SUMPRODUCT(ISNUMBER(SEARCH('16 Water Heating Costs'!$E$42:$AE$42,'16 Water Heating Costs'!Y22)) *'16 Water Heating Costs'!$E$47:$AE$47)</f>
        <v>1272.1992182145827</v>
      </c>
      <c r="AL36" s="150" cm="1">
        <f t="array" ref="AL36">SUMPRODUCT(ISNUMBER(SEARCH('16 Water Heating Costs'!$E$42:$AE$42,'16 Water Heating Costs'!Z22)) *'16 Water Heating Costs'!$E$47:$AE$47)</f>
        <v>987.15995002967838</v>
      </c>
      <c r="AM36" s="72"/>
    </row>
    <row r="37" spans="1:39" ht="199.9" customHeight="1" x14ac:dyDescent="0.25">
      <c r="A37" s="60"/>
      <c r="B37" s="1105"/>
      <c r="C37" s="152" t="s">
        <v>244</v>
      </c>
      <c r="D37" s="143" cm="1">
        <f t="array" ref="D37">SUMPRODUCT(ISNUMBER(SEARCH('16 Water Heating Costs'!$E$42:$AE$42,'16 Water Heating Costs'!F23)) *'16 Water Heating Costs'!$E$47:$AE$47)</f>
        <v>2556.7579671636049</v>
      </c>
      <c r="E37" s="142"/>
      <c r="F37" s="143" cm="1">
        <f t="array" ref="F37">SUMPRODUCT(ISNUMBER(SEARCH('16 Water Heating Costs'!$E$42:$AE$42,'16 Water Heating Costs'!H23)) *'16 Water Heating Costs'!$E$47:$AE$47)</f>
        <v>2005.2216943725907</v>
      </c>
      <c r="G37" s="143" cm="1">
        <f t="array" ref="G37">SUMPRODUCT(ISNUMBER(SEARCH('16 Water Heating Costs'!$E$42:$AE$42,'16 Water Heating Costs'!I23)) *'16 Water Heating Costs'!$E$47:$AE$47)</f>
        <v>2005.2216943725907</v>
      </c>
      <c r="H37" s="150" cm="1">
        <f t="array" ref="H37">SUMPRODUCT(ISNUMBER(SEARCH('16 Water Heating Costs'!$E$42:$AE$42,'16 Water Heating Costs'!J23)) *'16 Water Heating Costs'!$E$47:$AE$47)</f>
        <v>2556.7579671636049</v>
      </c>
      <c r="I37"/>
      <c r="P37" s="5"/>
      <c r="Q37" s="1105"/>
      <c r="R37" s="152" t="s">
        <v>244</v>
      </c>
      <c r="S37" s="143" cm="1">
        <f t="array" ref="S37">SUMPRODUCT(ISNUMBER(SEARCH('16 Water Heating Costs'!$E$42:$AE$42,'16 Water Heating Costs'!N23)) *'16 Water Heating Costs'!$E$47:$AE$47)</f>
        <v>3159.3802367077542</v>
      </c>
      <c r="T37" s="142"/>
      <c r="U37" s="143" cm="1">
        <f t="array" ref="U37">SUMPRODUCT(ISNUMBER(SEARCH('16 Water Heating Costs'!$E$42:$AE$42,'16 Water Heating Costs'!P23)) *'16 Water Heating Costs'!$E$47:$AE$47)</f>
        <v>2607.84396391674</v>
      </c>
      <c r="V37" s="143" cm="1">
        <f t="array" ref="V37">SUMPRODUCT(ISNUMBER(SEARCH('16 Water Heating Costs'!$E$42:$AE$42,'16 Water Heating Costs'!Q23)) *'16 Water Heating Costs'!$E$47:$AE$47)</f>
        <v>2607.84396391674</v>
      </c>
      <c r="W37" s="150" cm="1">
        <f t="array" ref="W37">SUMPRODUCT(ISNUMBER(SEARCH('16 Water Heating Costs'!$E$42:$AE$42,'16 Water Heating Costs'!R23)) *'16 Water Heating Costs'!$E$47:$AE$47)</f>
        <v>3159.3802367077542</v>
      </c>
      <c r="X37"/>
      <c r="Y37" s="5"/>
      <c r="Z37" s="5"/>
      <c r="AA37" s="5"/>
      <c r="AB37" s="5"/>
      <c r="AC37" s="5"/>
      <c r="AD37" s="5"/>
      <c r="AE37" s="5"/>
      <c r="AF37" s="1119"/>
      <c r="AG37" s="152" t="s">
        <v>244</v>
      </c>
      <c r="AH37" s="143" cm="1">
        <f t="array" ref="AH37">SUMPRODUCT(ISNUMBER(SEARCH('16 Water Heating Costs'!$E$42:$AE$42,'16 Water Heating Costs'!V23)) *'16 Water Heating Costs'!$E$47:$AE$47)</f>
        <v>2366.4561978338734</v>
      </c>
      <c r="AI37" s="142"/>
      <c r="AJ37" s="143" cm="1">
        <f t="array" ref="AJ37">SUMPRODUCT(ISNUMBER(SEARCH('16 Water Heating Costs'!$E$42:$AE$42,'16 Water Heating Costs'!X23)) *'16 Water Heating Costs'!$E$47:$AE$47)</f>
        <v>1814.9199250428592</v>
      </c>
      <c r="AK37" s="143" cm="1">
        <f t="array" ref="AK37">SUMPRODUCT(ISNUMBER(SEARCH('16 Water Heating Costs'!$E$42:$AE$42,'16 Water Heating Costs'!Y23)) *'16 Water Heating Costs'!$E$47:$AE$47)</f>
        <v>1814.9199250428592</v>
      </c>
      <c r="AL37" s="150" cm="1">
        <f t="array" ref="AL37">SUMPRODUCT(ISNUMBER(SEARCH('16 Water Heating Costs'!$E$42:$AE$42,'16 Water Heating Costs'!Z23)) *'16 Water Heating Costs'!$E$47:$AE$47)</f>
        <v>2366.4561978338734</v>
      </c>
      <c r="AM37" s="72"/>
    </row>
    <row r="38" spans="1:39" s="61" customFormat="1" ht="199.9" customHeight="1" x14ac:dyDescent="0.25">
      <c r="A38" s="60"/>
      <c r="B38" s="1105"/>
      <c r="C38" s="152" t="s">
        <v>86</v>
      </c>
      <c r="D38" s="143" cm="1">
        <f t="array" ref="D38">SUMPRODUCT(ISNUMBER(SEARCH('16 Water Heating Costs'!$E$42:$AE$42,'16 Water Heating Costs'!F24)) *'16 Water Heating Costs'!$E$47:$AE$47)</f>
        <v>2111.8963566782336</v>
      </c>
      <c r="E38" s="143" cm="1">
        <f t="array" ref="E38">SUMPRODUCT(ISNUMBER(SEARCH('16 Water Heating Costs'!$E$42:$AE$42,'16 Water Heating Costs'!G24)) *'16 Water Heating Costs'!$E$47:$AE$47)</f>
        <v>1560.3600838872192</v>
      </c>
      <c r="F38" s="142"/>
      <c r="G38" s="143" cm="1">
        <f t="array" ref="G38">SUMPRODUCT(ISNUMBER(SEARCH('16 Water Heating Costs'!$E$42:$AE$42,'16 Water Heating Costs'!I24)) *'16 Water Heating Costs'!$E$47:$AE$47)</f>
        <v>1560.3600838872192</v>
      </c>
      <c r="H38" s="150" cm="1">
        <f t="array" ref="H38">SUMPRODUCT(ISNUMBER(SEARCH('16 Water Heating Costs'!$E$42:$AE$42,'16 Water Heating Costs'!J24)) *'16 Water Heating Costs'!$E$47:$AE$47)</f>
        <v>2111.8963566782336</v>
      </c>
      <c r="I38"/>
      <c r="J38" s="5"/>
      <c r="K38" s="5"/>
      <c r="L38" s="5"/>
      <c r="M38" s="5"/>
      <c r="N38" s="5"/>
      <c r="O38" s="5"/>
      <c r="P38" s="5"/>
      <c r="Q38" s="1105"/>
      <c r="R38" s="152" t="s">
        <v>86</v>
      </c>
      <c r="S38" s="143" cm="1">
        <f t="array" ref="S38">SUMPRODUCT(ISNUMBER(SEARCH('16 Water Heating Costs'!$E$42:$AE$42,'16 Water Heating Costs'!N24)) *'16 Water Heating Costs'!$E$47:$AE$47)</f>
        <v>2212.5231011373394</v>
      </c>
      <c r="T38" s="143" cm="1">
        <f t="array" ref="T38">SUMPRODUCT(ISNUMBER(SEARCH('16 Water Heating Costs'!$E$42:$AE$42,'16 Water Heating Costs'!O24)) *'16 Water Heating Costs'!$E$47:$AE$47)</f>
        <v>1660.986828346325</v>
      </c>
      <c r="U38" s="142"/>
      <c r="V38" s="143" cm="1">
        <f t="array" ref="V38">SUMPRODUCT(ISNUMBER(SEARCH('16 Water Heating Costs'!$E$42:$AE$42,'16 Water Heating Costs'!Q24)) *'16 Water Heating Costs'!$E$47:$AE$47)</f>
        <v>1660.986828346325</v>
      </c>
      <c r="W38" s="150" cm="1">
        <f t="array" ref="W38">SUMPRODUCT(ISNUMBER(SEARCH('16 Water Heating Costs'!$E$42:$AE$42,'16 Water Heating Costs'!R24)) *'16 Water Heating Costs'!$E$47:$AE$47)</f>
        <v>2212.5231011373394</v>
      </c>
      <c r="X38"/>
      <c r="Y38" s="5"/>
      <c r="Z38" s="5"/>
      <c r="AA38" s="5"/>
      <c r="AB38" s="5"/>
      <c r="AC38" s="5"/>
      <c r="AD38" s="5"/>
      <c r="AE38" s="5"/>
      <c r="AF38" s="1119"/>
      <c r="AG38" s="152" t="s">
        <v>86</v>
      </c>
      <c r="AH38" s="143" cm="1">
        <f t="array" ref="AH38">SUMPRODUCT(ISNUMBER(SEARCH('16 Water Heating Costs'!$E$42:$AE$42,'16 Water Heating Costs'!V24)) *'16 Water Heating Costs'!$E$47:$AE$47)</f>
        <v>1940.3780274543333</v>
      </c>
      <c r="AI38" s="143" cm="1">
        <f t="array" ref="AI38">SUMPRODUCT(ISNUMBER(SEARCH('16 Water Heating Costs'!$E$42:$AE$42,'16 Water Heating Costs'!W24)) *'16 Water Heating Costs'!$E$47:$AE$47)</f>
        <v>1388.8417546633191</v>
      </c>
      <c r="AJ38" s="142"/>
      <c r="AK38" s="143" cm="1">
        <f t="array" ref="AK38">SUMPRODUCT(ISNUMBER(SEARCH('16 Water Heating Costs'!$E$42:$AE$42,'16 Water Heating Costs'!Y24)) *'16 Water Heating Costs'!$E$47:$AE$47)</f>
        <v>1388.8417546633191</v>
      </c>
      <c r="AL38" s="150" cm="1">
        <f t="array" ref="AL38">SUMPRODUCT(ISNUMBER(SEARCH('16 Water Heating Costs'!$E$42:$AE$42,'16 Water Heating Costs'!Z24)) *'16 Water Heating Costs'!$E$47:$AE$47)</f>
        <v>1940.3780274543333</v>
      </c>
      <c r="AM38" s="58"/>
    </row>
    <row r="39" spans="1:39" ht="199.9" customHeight="1" x14ac:dyDescent="0.25">
      <c r="A39" s="60"/>
      <c r="B39" s="1105"/>
      <c r="C39" s="152" t="s">
        <v>242</v>
      </c>
      <c r="D39" s="143" cm="1">
        <f t="array" ref="D39">SUMPRODUCT(ISNUMBER(SEARCH('16 Water Heating Costs'!$E$42:$AE$42,'16 Water Heating Costs'!F25)) *'16 Water Heating Costs'!$E$47:$AE$47)</f>
        <v>2111.8963566782336</v>
      </c>
      <c r="E39" s="143" cm="1">
        <f t="array" ref="E39">SUMPRODUCT(ISNUMBER(SEARCH('16 Water Heating Costs'!$E$42:$AE$42,'16 Water Heating Costs'!G25)) *'16 Water Heating Costs'!$E$47:$AE$47)</f>
        <v>1560.3600838872192</v>
      </c>
      <c r="F39" s="143" cm="1">
        <f t="array" ref="F39">SUMPRODUCT(ISNUMBER(SEARCH('16 Water Heating Costs'!$E$42:$AE$42,'16 Water Heating Costs'!H25)) *'16 Water Heating Costs'!$E$47:$AE$47)</f>
        <v>1560.3600838872192</v>
      </c>
      <c r="G39" s="142"/>
      <c r="H39" s="150" cm="1">
        <f t="array" ref="H39">SUMPRODUCT(ISNUMBER(SEARCH('16 Water Heating Costs'!$E$42:$AE$42,'16 Water Heating Costs'!J25)) *'16 Water Heating Costs'!$E$47:$AE$47)</f>
        <v>2111.8963566782336</v>
      </c>
      <c r="I39"/>
      <c r="P39" s="5"/>
      <c r="Q39" s="1105"/>
      <c r="R39" s="152" t="s">
        <v>242</v>
      </c>
      <c r="S39" s="143" cm="1">
        <f t="array" ref="S39">SUMPRODUCT(ISNUMBER(SEARCH('16 Water Heating Costs'!$E$42:$AE$42,'16 Water Heating Costs'!N25)) *'16 Water Heating Costs'!$E$47:$AE$47)</f>
        <v>2212.5231011373394</v>
      </c>
      <c r="T39" s="143" cm="1">
        <f t="array" ref="T39">SUMPRODUCT(ISNUMBER(SEARCH('16 Water Heating Costs'!$E$42:$AE$42,'16 Water Heating Costs'!O25)) *'16 Water Heating Costs'!$E$47:$AE$47)</f>
        <v>1660.986828346325</v>
      </c>
      <c r="U39" s="143" cm="1">
        <f t="array" ref="U39">SUMPRODUCT(ISNUMBER(SEARCH('16 Water Heating Costs'!$E$42:$AE$42,'16 Water Heating Costs'!P25)) *'16 Water Heating Costs'!$E$47:$AE$47)</f>
        <v>1660.986828346325</v>
      </c>
      <c r="V39" s="142"/>
      <c r="W39" s="150" cm="1">
        <f t="array" ref="W39">SUMPRODUCT(ISNUMBER(SEARCH('16 Water Heating Costs'!$E$42:$AE$42,'16 Water Heating Costs'!R25)) *'16 Water Heating Costs'!$E$47:$AE$47)</f>
        <v>2212.5231011373394</v>
      </c>
      <c r="X39"/>
      <c r="Y39" s="5"/>
      <c r="Z39" s="5"/>
      <c r="AA39" s="5"/>
      <c r="AB39" s="5"/>
      <c r="AC39" s="5"/>
      <c r="AD39" s="5"/>
      <c r="AE39" s="5"/>
      <c r="AF39" s="1119"/>
      <c r="AG39" s="152" t="s">
        <v>242</v>
      </c>
      <c r="AH39" s="143" cm="1">
        <f t="array" ref="AH39">SUMPRODUCT(ISNUMBER(SEARCH('16 Water Heating Costs'!$E$42:$AE$42,'16 Water Heating Costs'!V25)) *'16 Water Heating Costs'!$E$47:$AE$47)</f>
        <v>1940.3780274543333</v>
      </c>
      <c r="AI39" s="143" cm="1">
        <f t="array" ref="AI39">SUMPRODUCT(ISNUMBER(SEARCH('16 Water Heating Costs'!$E$42:$AE$42,'16 Water Heating Costs'!W25)) *'16 Water Heating Costs'!$E$47:$AE$47)</f>
        <v>1388.8417546633191</v>
      </c>
      <c r="AJ39" s="143" cm="1">
        <f t="array" ref="AJ39">SUMPRODUCT(ISNUMBER(SEARCH('16 Water Heating Costs'!$E$42:$AE$42,'16 Water Heating Costs'!X25)) *'16 Water Heating Costs'!$E$47:$AE$47)</f>
        <v>1388.8417546633191</v>
      </c>
      <c r="AK39" s="142"/>
      <c r="AL39" s="150" cm="1">
        <f t="array" ref="AL39">SUMPRODUCT(ISNUMBER(SEARCH('16 Water Heating Costs'!$E$42:$AE$42,'16 Water Heating Costs'!Z25)) *'16 Water Heating Costs'!$E$47:$AE$47)</f>
        <v>1940.3780274543333</v>
      </c>
      <c r="AM39" s="72"/>
    </row>
    <row r="40" spans="1:39" ht="199.9" customHeight="1" thickBot="1" x14ac:dyDescent="0.3">
      <c r="A40" s="60"/>
      <c r="B40" s="1106"/>
      <c r="C40" s="153" t="s">
        <v>172</v>
      </c>
      <c r="D40" s="354" cm="1">
        <f t="array" ref="D40">SUMPRODUCT(ISNUMBER(SEARCH('16 Water Heating Costs'!$E$42:$AE$42,'16 Water Heating Costs'!F26)) *'16 Water Heating Costs'!$E$47:$AE$47)</f>
        <v>80</v>
      </c>
      <c r="E40" s="354" cm="1">
        <f t="array" ref="E40">SUMPRODUCT(ISNUMBER(SEARCH('16 Water Heating Costs'!$E$42:$AE$42,'16 Water Heating Costs'!G26)) *'16 Water Heating Costs'!$E$47:$AE$47)</f>
        <v>1272.1992182145827</v>
      </c>
      <c r="F40" s="354" cm="1">
        <f t="array" ref="F40">SUMPRODUCT(ISNUMBER(SEARCH('16 Water Heating Costs'!$E$42:$AE$42,'16 Water Heating Costs'!H26)) *'16 Water Heating Costs'!$E$47:$AE$47)</f>
        <v>1272.1992182145827</v>
      </c>
      <c r="G40" s="354" cm="1">
        <f t="array" ref="G40">SUMPRODUCT(ISNUMBER(SEARCH('16 Water Heating Costs'!$E$42:$AE$42,'16 Water Heating Costs'!I26)) *'16 Water Heating Costs'!$E$47:$AE$47)</f>
        <v>1272.1992182145827</v>
      </c>
      <c r="H40" s="426"/>
      <c r="I40"/>
      <c r="P40" s="5"/>
      <c r="Q40" s="1106"/>
      <c r="R40" s="153" t="s">
        <v>172</v>
      </c>
      <c r="S40" s="354" cm="1">
        <f t="array" ref="S40">SUMPRODUCT(ISNUMBER(SEARCH('16 Water Heating Costs'!$E$42:$AE$42,'16 Water Heating Costs'!N26)) *'16 Water Heating Costs'!$E$47:$AE$47)</f>
        <v>80</v>
      </c>
      <c r="T40" s="354" cm="1">
        <f t="array" ref="T40">SUMPRODUCT(ISNUMBER(SEARCH('16 Water Heating Costs'!$E$42:$AE$42,'16 Water Heating Costs'!O26)) *'16 Water Heating Costs'!$E$47:$AE$47)</f>
        <v>1272.1992182145827</v>
      </c>
      <c r="U40" s="354" cm="1">
        <f t="array" ref="U40">SUMPRODUCT(ISNUMBER(SEARCH('16 Water Heating Costs'!$E$42:$AE$42,'16 Water Heating Costs'!P26)) *'16 Water Heating Costs'!$E$47:$AE$47)</f>
        <v>1272.1992182145827</v>
      </c>
      <c r="V40" s="354" cm="1">
        <f t="array" ref="V40">SUMPRODUCT(ISNUMBER(SEARCH('16 Water Heating Costs'!$E$42:$AE$42,'16 Water Heating Costs'!Q26)) *'16 Water Heating Costs'!$E$47:$AE$47)</f>
        <v>1272.1992182145827</v>
      </c>
      <c r="W40" s="426"/>
      <c r="X40"/>
      <c r="Y40" s="5"/>
      <c r="Z40" s="5"/>
      <c r="AA40" s="5"/>
      <c r="AB40" s="5"/>
      <c r="AC40" s="5"/>
      <c r="AD40" s="5"/>
      <c r="AE40" s="5"/>
      <c r="AF40" s="1120"/>
      <c r="AG40" s="153" t="s">
        <v>172</v>
      </c>
      <c r="AH40" s="354" cm="1">
        <f t="array" ref="AH40">SUMPRODUCT(ISNUMBER(SEARCH('16 Water Heating Costs'!$E$42:$AE$42,'16 Water Heating Costs'!V26)) *'16 Water Heating Costs'!$E$47:$AE$47)</f>
        <v>80</v>
      </c>
      <c r="AI40" s="354" cm="1">
        <f t="array" ref="AI40">SUMPRODUCT(ISNUMBER(SEARCH('16 Water Heating Costs'!$E$42:$AE$42,'16 Water Heating Costs'!W26)) *'16 Water Heating Costs'!$E$47:$AE$47)</f>
        <v>1272.1992182145827</v>
      </c>
      <c r="AJ40" s="354" cm="1">
        <f t="array" ref="AJ40">SUMPRODUCT(ISNUMBER(SEARCH('16 Water Heating Costs'!$E$42:$AE$42,'16 Water Heating Costs'!X26)) *'16 Water Heating Costs'!$E$47:$AE$47)</f>
        <v>1272.1992182145827</v>
      </c>
      <c r="AK40" s="354" cm="1">
        <f t="array" ref="AK40">SUMPRODUCT(ISNUMBER(SEARCH('16 Water Heating Costs'!$E$42:$AE$42,'16 Water Heating Costs'!Y26)) *'16 Water Heating Costs'!$E$47:$AE$47)</f>
        <v>1272.1992182145827</v>
      </c>
      <c r="AL40" s="426"/>
      <c r="AM40" s="72"/>
    </row>
    <row r="41" spans="1:39" ht="79.900000000000006" customHeight="1" thickBot="1" x14ac:dyDescent="0.3">
      <c r="A41" s="60"/>
      <c r="B41"/>
      <c r="C41"/>
      <c r="D41"/>
      <c r="E41"/>
      <c r="F41"/>
      <c r="G41"/>
      <c r="H41"/>
      <c r="I41"/>
      <c r="P41" s="5"/>
      <c r="Q41"/>
      <c r="R41"/>
      <c r="S41"/>
      <c r="T41"/>
      <c r="U41"/>
      <c r="V41"/>
      <c r="W41"/>
      <c r="X41"/>
      <c r="Y41" s="5"/>
      <c r="Z41" s="5"/>
      <c r="AA41" s="5"/>
      <c r="AB41" s="5"/>
      <c r="AC41" s="5"/>
      <c r="AD41" s="5"/>
      <c r="AE41" s="5"/>
      <c r="AF41"/>
      <c r="AG41"/>
      <c r="AH41"/>
      <c r="AI41"/>
      <c r="AJ41"/>
      <c r="AK41"/>
      <c r="AL41"/>
    </row>
    <row r="42" spans="1:39" ht="207.75" customHeight="1" x14ac:dyDescent="0.25">
      <c r="A42" s="60"/>
      <c r="B42" s="1107" t="s">
        <v>1629</v>
      </c>
      <c r="C42" s="1108"/>
      <c r="D42" s="1108"/>
      <c r="E42" s="1108"/>
      <c r="F42" s="1108"/>
      <c r="G42" s="1108"/>
      <c r="H42" s="1109"/>
      <c r="I42"/>
      <c r="P42" s="5"/>
      <c r="Q42" s="1107" t="s">
        <v>1630</v>
      </c>
      <c r="R42" s="1108"/>
      <c r="S42" s="1108"/>
      <c r="T42" s="1108"/>
      <c r="U42" s="1108"/>
      <c r="V42" s="1108"/>
      <c r="W42" s="1109"/>
      <c r="X42"/>
      <c r="Y42" s="5"/>
      <c r="Z42" s="5"/>
      <c r="AA42" s="5"/>
      <c r="AB42" s="5"/>
      <c r="AC42" s="5"/>
      <c r="AD42" s="5"/>
      <c r="AE42" s="5"/>
      <c r="AF42" s="1107" t="s">
        <v>1631</v>
      </c>
      <c r="AG42" s="1108"/>
      <c r="AH42" s="1108"/>
      <c r="AI42" s="1108"/>
      <c r="AJ42" s="1108"/>
      <c r="AK42" s="1108"/>
      <c r="AL42" s="1109"/>
      <c r="AM42" s="72"/>
    </row>
    <row r="43" spans="1:39" ht="79.900000000000006" customHeight="1" x14ac:dyDescent="0.25">
      <c r="A43" s="60"/>
      <c r="B43" s="1110" t="s">
        <v>977</v>
      </c>
      <c r="C43" s="1111"/>
      <c r="D43" s="1116" t="s">
        <v>990</v>
      </c>
      <c r="E43" s="1117"/>
      <c r="F43" s="1117"/>
      <c r="G43" s="1117"/>
      <c r="H43" s="1118"/>
      <c r="I43"/>
      <c r="P43" s="5"/>
      <c r="Q43" s="1110" t="s">
        <v>977</v>
      </c>
      <c r="R43" s="1111"/>
      <c r="S43" s="1116" t="s">
        <v>990</v>
      </c>
      <c r="T43" s="1117"/>
      <c r="U43" s="1117"/>
      <c r="V43" s="1117"/>
      <c r="W43" s="1118"/>
      <c r="X43"/>
      <c r="Y43" s="5"/>
      <c r="Z43" s="5"/>
      <c r="AA43" s="5"/>
      <c r="AB43" s="5"/>
      <c r="AC43" s="5"/>
      <c r="AD43" s="5"/>
      <c r="AE43" s="5"/>
      <c r="AF43" s="1110" t="s">
        <v>977</v>
      </c>
      <c r="AG43" s="1111"/>
      <c r="AH43" s="1116" t="s">
        <v>990</v>
      </c>
      <c r="AI43" s="1117"/>
      <c r="AJ43" s="1117"/>
      <c r="AK43" s="1117"/>
      <c r="AL43" s="1118"/>
      <c r="AM43" s="72"/>
    </row>
    <row r="44" spans="1:39" ht="79.900000000000006" customHeight="1" x14ac:dyDescent="0.25">
      <c r="A44" s="60"/>
      <c r="B44" s="1112"/>
      <c r="C44" s="1113"/>
      <c r="D44" s="1121" t="s">
        <v>246</v>
      </c>
      <c r="E44" s="1121" t="s">
        <v>244</v>
      </c>
      <c r="F44" s="1121" t="s">
        <v>86</v>
      </c>
      <c r="G44" s="1121" t="s">
        <v>242</v>
      </c>
      <c r="H44" s="1123" t="s">
        <v>172</v>
      </c>
      <c r="I44"/>
      <c r="P44" s="5"/>
      <c r="Q44" s="1112"/>
      <c r="R44" s="1113"/>
      <c r="S44" s="1121" t="s">
        <v>246</v>
      </c>
      <c r="T44" s="1121" t="s">
        <v>244</v>
      </c>
      <c r="U44" s="1121" t="s">
        <v>86</v>
      </c>
      <c r="V44" s="1121" t="s">
        <v>242</v>
      </c>
      <c r="W44" s="1123" t="s">
        <v>172</v>
      </c>
      <c r="X44"/>
      <c r="Y44" s="5"/>
      <c r="Z44" s="5"/>
      <c r="AA44" s="5"/>
      <c r="AB44" s="5"/>
      <c r="AC44" s="5"/>
      <c r="AD44" s="5"/>
      <c r="AE44" s="5"/>
      <c r="AF44" s="1112"/>
      <c r="AG44" s="1113"/>
      <c r="AH44" s="668" t="s">
        <v>246</v>
      </c>
      <c r="AI44" s="668" t="s">
        <v>244</v>
      </c>
      <c r="AJ44" s="668" t="s">
        <v>86</v>
      </c>
      <c r="AK44" s="668" t="s">
        <v>242</v>
      </c>
      <c r="AL44" s="677" t="s">
        <v>172</v>
      </c>
      <c r="AM44" s="72"/>
    </row>
    <row r="45" spans="1:39" ht="79.900000000000006" customHeight="1" x14ac:dyDescent="0.25">
      <c r="A45" s="60"/>
      <c r="B45" s="1114"/>
      <c r="C45" s="1115"/>
      <c r="D45" s="1122"/>
      <c r="E45" s="1122"/>
      <c r="F45" s="1122"/>
      <c r="G45" s="1122"/>
      <c r="H45" s="1124"/>
      <c r="I45"/>
      <c r="P45" s="5"/>
      <c r="Q45" s="1114"/>
      <c r="R45" s="1115"/>
      <c r="S45" s="1122"/>
      <c r="T45" s="1122"/>
      <c r="U45" s="1122"/>
      <c r="V45" s="1122"/>
      <c r="W45" s="1124"/>
      <c r="X45"/>
      <c r="Y45" s="5"/>
      <c r="Z45" s="5"/>
      <c r="AA45" s="5"/>
      <c r="AB45" s="5"/>
      <c r="AC45" s="5"/>
      <c r="AD45" s="5"/>
      <c r="AE45" s="5"/>
      <c r="AF45" s="1114"/>
      <c r="AG45" s="1115"/>
      <c r="AH45" s="179"/>
      <c r="AI45" s="179"/>
      <c r="AJ45" s="179"/>
      <c r="AK45" s="179"/>
      <c r="AL45" s="180"/>
      <c r="AM45" s="72"/>
    </row>
    <row r="46" spans="1:39" ht="199.9" customHeight="1" x14ac:dyDescent="0.25">
      <c r="A46" s="60"/>
      <c r="B46" s="1104" t="s">
        <v>952</v>
      </c>
      <c r="C46" s="149" t="s">
        <v>246</v>
      </c>
      <c r="D46" s="142"/>
      <c r="E46" s="143" cm="1">
        <f t="array" ref="E46">SUMPRODUCT(ISNUMBER(SEARCH('16 Water Heating Costs'!$E$42:$AE$42,'16 Water Heating Costs'!G33)) *'16 Water Heating Costs'!$E$47:$AE$47)</f>
        <v>1272.1992182145827</v>
      </c>
      <c r="F46" s="143" cm="1">
        <f t="array" ref="F46">SUMPRODUCT(ISNUMBER(SEARCH('16 Water Heating Costs'!$E$42:$AE$42,'16 Water Heating Costs'!H33)) *'16 Water Heating Costs'!$E$47:$AE$47)</f>
        <v>1272.1992182145827</v>
      </c>
      <c r="G46" s="143" cm="1">
        <f t="array" ref="G46">SUMPRODUCT(ISNUMBER(SEARCH('16 Water Heating Costs'!$E$42:$AE$42,'16 Water Heating Costs'!I33)) *'16 Water Heating Costs'!$E$47:$AE$47)</f>
        <v>1272.1992182145827</v>
      </c>
      <c r="H46" s="150" cm="1">
        <f t="array" ref="H46">SUMPRODUCT(ISNUMBER(SEARCH('16 Water Heating Costs'!$E$42:$AE$42,'16 Water Heating Costs'!J33)) *'16 Water Heating Costs'!$E$47:$AE$47)</f>
        <v>987.15995002967838</v>
      </c>
      <c r="I46"/>
      <c r="P46" s="5"/>
      <c r="Q46" s="1104" t="s">
        <v>952</v>
      </c>
      <c r="R46" s="149" t="s">
        <v>246</v>
      </c>
      <c r="S46" s="142"/>
      <c r="T46" s="143" cm="1">
        <f t="array" ref="T46">SUMPRODUCT(ISNUMBER(SEARCH('16 Water Heating Costs'!$E$42:$AE$42,'16 Water Heating Costs'!O33)) *'16 Water Heating Costs'!$E$47:$AE$47)</f>
        <v>1272.1992182145827</v>
      </c>
      <c r="U46" s="143" cm="1">
        <f t="array" ref="U46">SUMPRODUCT(ISNUMBER(SEARCH('16 Water Heating Costs'!$E$42:$AE$42,'16 Water Heating Costs'!P33)) *'16 Water Heating Costs'!$E$47:$AE$47)</f>
        <v>1272.1992182145827</v>
      </c>
      <c r="V46" s="143" cm="1">
        <f t="array" ref="V46">SUMPRODUCT(ISNUMBER(SEARCH('16 Water Heating Costs'!$E$42:$AE$42,'16 Water Heating Costs'!Q33)) *'16 Water Heating Costs'!$E$47:$AE$47)</f>
        <v>1272.1992182145827</v>
      </c>
      <c r="W46" s="150" cm="1">
        <f t="array" ref="W46">SUMPRODUCT(ISNUMBER(SEARCH('16 Water Heating Costs'!$E$42:$AE$42,'16 Water Heating Costs'!R33)) *'16 Water Heating Costs'!$E$47:$AE$47)</f>
        <v>987.15995002967838</v>
      </c>
      <c r="X46"/>
      <c r="Y46" s="5"/>
      <c r="Z46" s="5"/>
      <c r="AA46" s="5"/>
      <c r="AB46" s="5"/>
      <c r="AC46" s="5"/>
      <c r="AD46" s="5"/>
      <c r="AE46" s="5"/>
      <c r="AF46" s="1104" t="s">
        <v>952</v>
      </c>
      <c r="AG46" s="149" t="s">
        <v>246</v>
      </c>
      <c r="AH46" s="142"/>
      <c r="AI46" s="143" cm="1">
        <f t="array" ref="AI46">SUMPRODUCT(ISNUMBER(SEARCH('16 Water Heating Costs'!$E$42:$AE$42,'16 Water Heating Costs'!W33)) *'16 Water Heating Costs'!$E$47:$AE$47)</f>
        <v>1272.1992182145827</v>
      </c>
      <c r="AJ46" s="143" cm="1">
        <f t="array" ref="AJ46">SUMPRODUCT(ISNUMBER(SEARCH('16 Water Heating Costs'!$E$42:$AE$42,'16 Water Heating Costs'!X33)) *'16 Water Heating Costs'!$E$47:$AE$47)</f>
        <v>1272.1992182145827</v>
      </c>
      <c r="AK46" s="143" cm="1">
        <f t="array" ref="AK46">SUMPRODUCT(ISNUMBER(SEARCH('16 Water Heating Costs'!$E$42:$AE$42,'16 Water Heating Costs'!Y33)) *'16 Water Heating Costs'!$E$47:$AE$47)</f>
        <v>1272.1992182145827</v>
      </c>
      <c r="AL46" s="150" cm="1">
        <f t="array" ref="AL46">SUMPRODUCT(ISNUMBER(SEARCH('16 Water Heating Costs'!$E$42:$AE$42,'16 Water Heating Costs'!Z33)) *'16 Water Heating Costs'!$E$47:$AE$47)</f>
        <v>987.15995002967838</v>
      </c>
      <c r="AM46" s="72"/>
    </row>
    <row r="47" spans="1:39" ht="199.9" customHeight="1" x14ac:dyDescent="0.25">
      <c r="A47" s="60"/>
      <c r="B47" s="1105"/>
      <c r="C47" s="152" t="s">
        <v>244</v>
      </c>
      <c r="D47" s="142"/>
      <c r="E47" s="142"/>
      <c r="F47" s="142"/>
      <c r="G47" s="142"/>
      <c r="H47" s="144"/>
      <c r="I47"/>
      <c r="P47" s="5"/>
      <c r="Q47" s="1105"/>
      <c r="R47" s="152" t="s">
        <v>244</v>
      </c>
      <c r="S47" s="142"/>
      <c r="T47" s="142"/>
      <c r="U47" s="142"/>
      <c r="V47" s="142"/>
      <c r="W47" s="144"/>
      <c r="X47"/>
      <c r="Y47" s="5"/>
      <c r="Z47" s="5"/>
      <c r="AA47" s="5"/>
      <c r="AB47" s="5"/>
      <c r="AC47" s="5"/>
      <c r="AD47" s="5"/>
      <c r="AE47" s="5"/>
      <c r="AF47" s="1119"/>
      <c r="AG47" s="152" t="s">
        <v>244</v>
      </c>
      <c r="AH47" s="142"/>
      <c r="AI47" s="142"/>
      <c r="AJ47" s="142"/>
      <c r="AK47" s="142"/>
      <c r="AL47" s="144"/>
      <c r="AM47" s="72"/>
    </row>
    <row r="48" spans="1:39" ht="199.9" customHeight="1" x14ac:dyDescent="0.25">
      <c r="A48" s="60"/>
      <c r="B48" s="1105"/>
      <c r="C48" s="152" t="s">
        <v>86</v>
      </c>
      <c r="D48" s="143" cm="1">
        <f t="array" ref="D48">SUMPRODUCT(ISNUMBER(SEARCH('16 Water Heating Costs'!$E$42:$AE$42,'16 Water Heating Costs'!F35)) *'16 Water Heating Costs'!$E$47:$AE$47)</f>
        <v>4193.3294423694633</v>
      </c>
      <c r="E48" s="143" cm="1">
        <f t="array" ref="E48">SUMPRODUCT(ISNUMBER(SEARCH('16 Water Heating Costs'!$E$42:$AE$42,'16 Water Heating Costs'!G35)) *'16 Water Heating Costs'!$E$47:$AE$47)</f>
        <v>2603.2657099907515</v>
      </c>
      <c r="F48" s="142"/>
      <c r="G48" s="143" cm="1">
        <f t="array" ref="G48">SUMPRODUCT(ISNUMBER(SEARCH('16 Water Heating Costs'!$E$42:$AE$42,'16 Water Heating Costs'!I35)) *'16 Water Heating Costs'!$E$47:$AE$47)</f>
        <v>3641.7931695784487</v>
      </c>
      <c r="H48" s="150" cm="1">
        <f t="array" ref="H48">SUMPRODUCT(ISNUMBER(SEARCH('16 Water Heating Costs'!$E$42:$AE$42,'16 Water Heating Costs'!J35)) *'16 Water Heating Costs'!$E$47:$AE$47)</f>
        <v>4193.3294423694633</v>
      </c>
      <c r="I48"/>
      <c r="P48" s="5"/>
      <c r="Q48" s="1105"/>
      <c r="R48" s="152" t="s">
        <v>86</v>
      </c>
      <c r="S48" s="143" cm="1">
        <f t="array" ref="S48">SUMPRODUCT(ISNUMBER(SEARCH('16 Water Heating Costs'!$E$42:$AE$42,'16 Water Heating Costs'!N35)) *'16 Water Heating Costs'!$E$47:$AE$47)</f>
        <v>4642.1247226570749</v>
      </c>
      <c r="T48" s="143" cm="1">
        <f t="array" ref="T48">SUMPRODUCT(ISNUMBER(SEARCH('16 Water Heating Costs'!$E$42:$AE$42,'16 Water Heating Costs'!O35)) *'16 Water Heating Costs'!$E$47:$AE$47)</f>
        <v>3052.0609902783631</v>
      </c>
      <c r="U48" s="142"/>
      <c r="V48" s="143" cm="1">
        <f t="array" ref="V48">SUMPRODUCT(ISNUMBER(SEARCH('16 Water Heating Costs'!$E$42:$AE$42,'16 Water Heating Costs'!Q35)) *'16 Water Heating Costs'!$E$47:$AE$47)</f>
        <v>4090.5884498660603</v>
      </c>
      <c r="W48" s="150" cm="1">
        <f t="array" ref="W48">SUMPRODUCT(ISNUMBER(SEARCH('16 Water Heating Costs'!$E$42:$AE$42,'16 Water Heating Costs'!R35)) *'16 Water Heating Costs'!$E$47:$AE$47)</f>
        <v>4642.1247226570749</v>
      </c>
      <c r="X48"/>
      <c r="Y48" s="5"/>
      <c r="Z48" s="5"/>
      <c r="AA48" s="5"/>
      <c r="AB48" s="5"/>
      <c r="AC48" s="5"/>
      <c r="AD48" s="5"/>
      <c r="AE48" s="5"/>
      <c r="AF48" s="1119"/>
      <c r="AG48" s="152" t="s">
        <v>86</v>
      </c>
      <c r="AH48" s="143" cm="1">
        <f t="array" ref="AH48">SUMPRODUCT(ISNUMBER(SEARCH('16 Water Heating Costs'!$E$42:$AE$42,'16 Water Heating Costs'!V35)) *'16 Water Heating Costs'!$E$47:$AE$47)</f>
        <v>3428.3576940308681</v>
      </c>
      <c r="AI48" s="143" cm="1">
        <f t="array" ref="AI48">SUMPRODUCT(ISNUMBER(SEARCH('16 Water Heating Costs'!$E$42:$AE$42,'16 Water Heating Costs'!W35)) *'16 Water Heating Costs'!$E$47:$AE$47)</f>
        <v>3052.0609902783631</v>
      </c>
      <c r="AJ48" s="142"/>
      <c r="AK48" s="143" cm="1">
        <f t="array" ref="AK48">SUMPRODUCT(ISNUMBER(SEARCH('16 Water Heating Costs'!$E$42:$AE$42,'16 Water Heating Costs'!Y35)) *'16 Water Heating Costs'!$E$47:$AE$47)</f>
        <v>2876.8214212398534</v>
      </c>
      <c r="AL48" s="150" cm="1">
        <f t="array" ref="AL48">SUMPRODUCT(ISNUMBER(SEARCH('16 Water Heating Costs'!$E$42:$AE$42,'16 Water Heating Costs'!Z35)) *'16 Water Heating Costs'!$E$47:$AE$47)</f>
        <v>3428.3576940308681</v>
      </c>
      <c r="AM48" s="72"/>
    </row>
    <row r="49" spans="1:39" ht="199.9" customHeight="1" x14ac:dyDescent="0.25">
      <c r="A49" s="60"/>
      <c r="B49" s="1105"/>
      <c r="C49" s="152" t="s">
        <v>242</v>
      </c>
      <c r="D49" s="143" cm="1">
        <f t="array" ref="D49">SUMPRODUCT(ISNUMBER(SEARCH('16 Water Heating Costs'!$E$42:$AE$42,'16 Water Heating Costs'!F36)) *'16 Water Heating Costs'!$E$47:$AE$47)</f>
        <v>4193.3294423694633</v>
      </c>
      <c r="E49" s="143" cm="1">
        <f t="array" ref="E49">SUMPRODUCT(ISNUMBER(SEARCH('16 Water Heating Costs'!$E$42:$AE$42,'16 Water Heating Costs'!G36)) *'16 Water Heating Costs'!$E$47:$AE$47)</f>
        <v>3641.7931695784487</v>
      </c>
      <c r="F49" s="143" cm="1">
        <f t="array" ref="F49">SUMPRODUCT(ISNUMBER(SEARCH('16 Water Heating Costs'!$E$42:$AE$42,'16 Water Heating Costs'!H36)) *'16 Water Heating Costs'!$E$47:$AE$47)</f>
        <v>3641.7931695784487</v>
      </c>
      <c r="G49" s="142"/>
      <c r="H49" s="150" cm="1">
        <f t="array" ref="H49">SUMPRODUCT(ISNUMBER(SEARCH('16 Water Heating Costs'!$E$42:$AE$42,'16 Water Heating Costs'!J36)) *'16 Water Heating Costs'!$E$47:$AE$47)</f>
        <v>4193.3294423694633</v>
      </c>
      <c r="I49"/>
      <c r="P49" s="5"/>
      <c r="Q49" s="1105"/>
      <c r="R49" s="152" t="s">
        <v>242</v>
      </c>
      <c r="S49" s="143" cm="1">
        <f t="array" ref="S49">SUMPRODUCT(ISNUMBER(SEARCH('16 Water Heating Costs'!$E$42:$AE$42,'16 Water Heating Costs'!N36)) *'16 Water Heating Costs'!$E$47:$AE$47)</f>
        <v>4642.1247226570749</v>
      </c>
      <c r="T49" s="143" cm="1">
        <f t="array" ref="T49">SUMPRODUCT(ISNUMBER(SEARCH('16 Water Heating Costs'!$E$42:$AE$42,'16 Water Heating Costs'!O36)) *'16 Water Heating Costs'!$E$47:$AE$47)</f>
        <v>4090.5884498660603</v>
      </c>
      <c r="U49" s="143" cm="1">
        <f t="array" ref="U49">SUMPRODUCT(ISNUMBER(SEARCH('16 Water Heating Costs'!$E$42:$AE$42,'16 Water Heating Costs'!P36)) *'16 Water Heating Costs'!$E$47:$AE$47)</f>
        <v>4090.5884498660603</v>
      </c>
      <c r="V49" s="142"/>
      <c r="W49" s="150" cm="1">
        <f t="array" ref="W49">SUMPRODUCT(ISNUMBER(SEARCH('16 Water Heating Costs'!$E$42:$AE$42,'16 Water Heating Costs'!R36)) *'16 Water Heating Costs'!$E$47:$AE$47)</f>
        <v>4642.1247226570749</v>
      </c>
      <c r="X49"/>
      <c r="Y49" s="5"/>
      <c r="Z49" s="5"/>
      <c r="AA49" s="5"/>
      <c r="AB49" s="5"/>
      <c r="AC49" s="5"/>
      <c r="AD49" s="5"/>
      <c r="AE49" s="5"/>
      <c r="AF49" s="1119"/>
      <c r="AG49" s="152" t="s">
        <v>242</v>
      </c>
      <c r="AH49" s="143" cm="1">
        <f t="array" ref="AH49">SUMPRODUCT(ISNUMBER(SEARCH('16 Water Heating Costs'!$E$42:$AE$42,'16 Water Heating Costs'!V36)) *'16 Water Heating Costs'!$E$47:$AE$47)</f>
        <v>3428.3576940308681</v>
      </c>
      <c r="AI49" s="143" cm="1">
        <f t="array" ref="AI49">SUMPRODUCT(ISNUMBER(SEARCH('16 Water Heating Costs'!$E$42:$AE$42,'16 Water Heating Costs'!W36)) *'16 Water Heating Costs'!$E$47:$AE$47)</f>
        <v>2876.8214212398534</v>
      </c>
      <c r="AJ49" s="143" cm="1">
        <f t="array" ref="AJ49">SUMPRODUCT(ISNUMBER(SEARCH('16 Water Heating Costs'!$E$42:$AE$42,'16 Water Heating Costs'!X36)) *'16 Water Heating Costs'!$E$47:$AE$47)</f>
        <v>2876.8214212398534</v>
      </c>
      <c r="AK49" s="142"/>
      <c r="AL49" s="150" cm="1">
        <f t="array" ref="AL49">SUMPRODUCT(ISNUMBER(SEARCH('16 Water Heating Costs'!$E$42:$AE$42,'16 Water Heating Costs'!Z36)) *'16 Water Heating Costs'!$E$47:$AE$47)</f>
        <v>3428.3576940308681</v>
      </c>
      <c r="AM49" s="72"/>
    </row>
    <row r="50" spans="1:39" ht="199.9" customHeight="1" thickBot="1" x14ac:dyDescent="0.3">
      <c r="A50" s="60"/>
      <c r="B50" s="1106"/>
      <c r="C50" s="153" t="s">
        <v>172</v>
      </c>
      <c r="D50" s="145"/>
      <c r="E50" s="145"/>
      <c r="F50" s="145"/>
      <c r="G50" s="145"/>
      <c r="H50" s="426"/>
      <c r="I50"/>
      <c r="P50" s="5"/>
      <c r="Q50" s="1106"/>
      <c r="R50" s="153" t="s">
        <v>172</v>
      </c>
      <c r="S50" s="145"/>
      <c r="T50" s="145"/>
      <c r="U50" s="145"/>
      <c r="V50" s="145"/>
      <c r="W50" s="426"/>
      <c r="X50"/>
      <c r="Y50" s="5"/>
      <c r="Z50" s="5"/>
      <c r="AA50" s="5"/>
      <c r="AB50" s="5"/>
      <c r="AC50" s="5"/>
      <c r="AD50" s="5"/>
      <c r="AE50" s="5"/>
      <c r="AF50" s="1120"/>
      <c r="AG50" s="153" t="s">
        <v>172</v>
      </c>
      <c r="AH50" s="145"/>
      <c r="AI50" s="145"/>
      <c r="AJ50" s="145"/>
      <c r="AK50" s="145"/>
      <c r="AL50" s="426"/>
      <c r="AM50" s="72"/>
    </row>
    <row r="51" spans="1:39" ht="79.900000000000006" customHeight="1" thickBot="1" x14ac:dyDescent="0.3">
      <c r="B51" s="673"/>
      <c r="C51" s="673"/>
      <c r="D51" s="673"/>
      <c r="E51" s="673"/>
      <c r="F51" s="673"/>
      <c r="G51" s="673"/>
      <c r="H51" s="673"/>
      <c r="I51" s="673"/>
      <c r="J51" s="673"/>
      <c r="K51" s="673"/>
      <c r="L51" s="673"/>
      <c r="M51" s="673"/>
      <c r="N51" s="679"/>
      <c r="P51" s="5"/>
      <c r="Q51" s="673"/>
      <c r="R51" s="673"/>
      <c r="S51" s="673"/>
      <c r="T51" s="673"/>
      <c r="U51" s="673"/>
      <c r="V51" s="673"/>
      <c r="W51" s="673"/>
      <c r="X51" s="673"/>
      <c r="Y51" s="673"/>
      <c r="Z51" s="673"/>
      <c r="AA51" s="673"/>
      <c r="AB51" s="673"/>
      <c r="AC51" s="5"/>
      <c r="AD51" s="5"/>
      <c r="AE51" s="5"/>
      <c r="AF51" s="673"/>
      <c r="AG51" s="673"/>
      <c r="AH51" s="673"/>
      <c r="AI51" s="673"/>
      <c r="AJ51" s="673"/>
      <c r="AK51" s="673"/>
      <c r="AL51" s="673"/>
    </row>
    <row r="52" spans="1:39" ht="175.15" customHeight="1" thickBot="1" x14ac:dyDescent="0.3">
      <c r="B52" s="1135" t="s">
        <v>1074</v>
      </c>
      <c r="C52" s="1136"/>
      <c r="D52" s="1136"/>
      <c r="E52" s="1136"/>
      <c r="F52" s="1136"/>
      <c r="G52" s="1137"/>
      <c r="H52" s="364"/>
      <c r="I52" s="131"/>
      <c r="J52" s="146"/>
      <c r="K52" s="146"/>
      <c r="L52" s="146"/>
      <c r="M52" s="146"/>
      <c r="N52" s="156"/>
      <c r="O52" s="72"/>
    </row>
    <row r="53" spans="1:39" ht="79.900000000000006" customHeight="1" thickBot="1" x14ac:dyDescent="0.3">
      <c r="B53" s="1110" t="s">
        <v>226</v>
      </c>
      <c r="C53" s="1111"/>
      <c r="D53" s="1138" t="s">
        <v>282</v>
      </c>
      <c r="E53" s="1138"/>
      <c r="F53" s="1138"/>
      <c r="G53" s="1139"/>
      <c r="H53" s="183"/>
      <c r="I53" s="146"/>
      <c r="J53" s="146"/>
      <c r="K53" s="146"/>
      <c r="L53" s="146"/>
      <c r="M53" s="156"/>
      <c r="N53" s="72"/>
      <c r="O53" s="57"/>
    </row>
    <row r="54" spans="1:39" ht="199.9" customHeight="1" thickBot="1" x14ac:dyDescent="0.3">
      <c r="B54" s="1114"/>
      <c r="C54" s="1115"/>
      <c r="D54" s="147" t="s">
        <v>246</v>
      </c>
      <c r="E54" s="147" t="s">
        <v>594</v>
      </c>
      <c r="F54" s="147" t="s">
        <v>86</v>
      </c>
      <c r="G54" s="148" t="s">
        <v>242</v>
      </c>
      <c r="H54" s="131"/>
      <c r="I54" s="146"/>
      <c r="J54" s="146"/>
      <c r="K54" s="146"/>
      <c r="L54" s="146"/>
      <c r="M54" s="146"/>
      <c r="N54" s="72"/>
      <c r="O54" s="57"/>
    </row>
    <row r="55" spans="1:39" ht="199.9" customHeight="1" thickBot="1" x14ac:dyDescent="0.3">
      <c r="B55" s="1132" t="s">
        <v>227</v>
      </c>
      <c r="C55" s="147" t="s">
        <v>246</v>
      </c>
      <c r="D55" s="142"/>
      <c r="E55" s="143" cm="1">
        <f t="array" ref="E55">SUMPRODUCT(ISNUMBER(SEARCH('18 Clothes Drying Costs'!$D$16:$N$16,'18 Clothes Drying Costs'!G10)) *'18 Clothes Drying Costs'!$D$21:$N$21)</f>
        <v>724.16237171381852</v>
      </c>
      <c r="F55" s="143" cm="1">
        <f t="array" ref="F55">SUMPRODUCT(ISNUMBER(SEARCH('18 Clothes Drying Costs'!$D$16:$M$16,'18 Clothes Drying Costs'!H10)) *'18 Clothes Drying Costs'!$D$21:$M$21)</f>
        <v>1071.8452729233595</v>
      </c>
      <c r="G55" s="150" cm="1">
        <f t="array" ref="G55">SUMPRODUCT(ISNUMBER(SEARCH('18 Clothes Drying Costs'!$D$16:$M$16,'18 Clothes Drying Costs'!I10)) *'18 Clothes Drying Costs'!$D$21:$M$21)</f>
        <v>1071.8452729233595</v>
      </c>
      <c r="H55" s="131"/>
      <c r="I55" s="146"/>
      <c r="J55" s="146"/>
      <c r="K55" s="146"/>
      <c r="L55" s="146"/>
      <c r="M55" s="146"/>
      <c r="N55" s="72"/>
      <c r="O55" s="57"/>
    </row>
    <row r="56" spans="1:39" ht="199.9" customHeight="1" thickBot="1" x14ac:dyDescent="0.3">
      <c r="B56" s="1132"/>
      <c r="C56" s="147" t="s">
        <v>594</v>
      </c>
      <c r="D56" s="143" cm="1">
        <f t="array" ref="D56">SUMPRODUCT(ISNUMBER(SEARCH('18 Clothes Drying Costs'!$D$16:$M$16,'18 Clothes Drying Costs'!F11)) *'18 Clothes Drying Costs'!$D$21:$M$21)</f>
        <v>100</v>
      </c>
      <c r="E56" s="142"/>
      <c r="F56" s="143" cm="1">
        <f t="array" ref="F56">SUMPRODUCT(ISNUMBER(SEARCH('18 Clothes Drying Costs'!$D$16:$M$16,'18 Clothes Drying Costs'!H11)) *'18 Clothes Drying Costs'!$D$21:$M$21)</f>
        <v>1171.8452729233595</v>
      </c>
      <c r="G56" s="150" cm="1">
        <f t="array" ref="G56">SUMPRODUCT(ISNUMBER(SEARCH('18 Clothes Drying Costs'!$D$16:$M$16,'18 Clothes Drying Costs'!I11)) *'18 Clothes Drying Costs'!$D$21:$M$21)</f>
        <v>1221.8452729233595</v>
      </c>
      <c r="H56" s="131"/>
      <c r="I56" s="146"/>
      <c r="J56" s="146"/>
      <c r="K56" s="146"/>
      <c r="L56" s="146"/>
      <c r="M56" s="146"/>
      <c r="N56" s="72"/>
      <c r="O56" s="57"/>
    </row>
    <row r="57" spans="1:39" ht="199.9" customHeight="1" thickBot="1" x14ac:dyDescent="0.3">
      <c r="B57" s="1132"/>
      <c r="C57" s="147" t="s">
        <v>86</v>
      </c>
      <c r="D57" s="143" cm="1">
        <f t="array" ref="D57">SUMPRODUCT(ISNUMBER(SEARCH('18 Clothes Drying Costs'!$D$16:$M$16,'18 Clothes Drying Costs'!F12)) *'18 Clothes Drying Costs'!$D$21:$M$21)</f>
        <v>1029.1784851435959</v>
      </c>
      <c r="E57" s="143" cm="1">
        <f t="array" ref="E57">SUMPRODUCT(ISNUMBER(SEARCH('18 Clothes Drying Costs'!$D$16:$N$16,'18 Clothes Drying Costs'!G12)) *'18 Clothes Drying Costs'!$D$21:$N$21)</f>
        <v>1703.3408568574146</v>
      </c>
      <c r="F57" s="142"/>
      <c r="G57" s="150" cm="1">
        <f t="array" ref="G57">SUMPRODUCT(ISNUMBER(SEARCH('18 Clothes Drying Costs'!$D$16:$M$16,'18 Clothes Drying Costs'!I12)) *'18 Clothes Drying Costs'!$D$21:$M$21)</f>
        <v>1363.0620924056902</v>
      </c>
      <c r="H57" s="131"/>
      <c r="I57" s="146"/>
      <c r="J57" s="146"/>
      <c r="K57" s="146"/>
      <c r="L57" s="146"/>
      <c r="M57" s="146"/>
      <c r="N57" s="58"/>
      <c r="O57" s="57"/>
    </row>
    <row r="58" spans="1:39" ht="199.9" customHeight="1" thickBot="1" x14ac:dyDescent="0.3">
      <c r="B58" s="1133"/>
      <c r="C58" s="137" t="s">
        <v>242</v>
      </c>
      <c r="D58" s="354" cm="1">
        <f t="array" ref="D58">SUMPRODUCT(ISNUMBER(SEARCH('18 Clothes Drying Costs'!$D$16:$M$16,'18 Clothes Drying Costs'!F13)) *'18 Clothes Drying Costs'!$D$21:$M$21)</f>
        <v>1029.1784851435959</v>
      </c>
      <c r="E58" s="354" cm="1">
        <f t="array" ref="E58">SUMPRODUCT(ISNUMBER(SEARCH('18 Clothes Drying Costs'!$D$16:$N$16,'18 Clothes Drying Costs'!G13)) *'18 Clothes Drying Costs'!$D$21:$N$21)</f>
        <v>1753.3408568574146</v>
      </c>
      <c r="F58" s="354" cm="1">
        <f t="array" ref="F58">SUMPRODUCT(ISNUMBER(SEARCH('18 Clothes Drying Costs'!$D$16:$M$16,'18 Clothes Drying Costs'!H13)) *'18 Clothes Drying Costs'!$D$21:$M$21)</f>
        <v>1248.9499750558994</v>
      </c>
      <c r="G58" s="426"/>
      <c r="H58" s="58"/>
      <c r="I58" s="59"/>
      <c r="J58" s="59"/>
      <c r="K58" s="59"/>
      <c r="L58" s="59"/>
      <c r="M58" s="59"/>
      <c r="N58" s="57"/>
      <c r="O58" s="61"/>
      <c r="P58" s="61"/>
      <c r="Q58" s="61"/>
      <c r="R58" s="61"/>
      <c r="S58" s="61"/>
      <c r="T58" s="61"/>
      <c r="U58" s="61"/>
      <c r="V58" s="61"/>
      <c r="W58" s="61"/>
      <c r="X58" s="61"/>
      <c r="Y58" s="61"/>
      <c r="Z58" s="61"/>
      <c r="AA58" s="61"/>
      <c r="AB58" s="61"/>
      <c r="AC58" s="61"/>
      <c r="AD58" s="61"/>
      <c r="AE58" s="61"/>
      <c r="AF58" s="61"/>
      <c r="AG58" s="61"/>
      <c r="AH58" s="61"/>
      <c r="AI58" s="61"/>
      <c r="AJ58" s="61"/>
      <c r="AK58" s="61"/>
      <c r="AL58" s="61"/>
    </row>
    <row r="59" spans="1:39" ht="79.900000000000006" customHeight="1" thickBot="1" x14ac:dyDescent="0.3">
      <c r="B59" s="133"/>
      <c r="C59" s="157"/>
      <c r="D59" s="157"/>
      <c r="E59" s="157"/>
      <c r="F59" s="157"/>
      <c r="G59" s="157"/>
      <c r="H59" s="59"/>
      <c r="I59" s="57"/>
      <c r="J59" s="57"/>
      <c r="K59" s="57"/>
      <c r="L59" s="57"/>
      <c r="M59" s="57"/>
      <c r="N59" s="57"/>
      <c r="O59" s="57"/>
    </row>
    <row r="60" spans="1:39" ht="175.15" customHeight="1" x14ac:dyDescent="0.25">
      <c r="B60" s="1107" t="s">
        <v>546</v>
      </c>
      <c r="C60" s="1108"/>
      <c r="D60" s="1108"/>
      <c r="E60" s="1108"/>
      <c r="F60" s="1109"/>
      <c r="G60" s="365"/>
      <c r="H60" s="72"/>
      <c r="I60" s="57"/>
      <c r="J60" s="57"/>
      <c r="K60" s="57"/>
      <c r="L60" s="57"/>
      <c r="M60" s="57"/>
      <c r="N60" s="57"/>
      <c r="O60" s="57"/>
    </row>
    <row r="61" spans="1:39" ht="79.900000000000006" customHeight="1" x14ac:dyDescent="0.25">
      <c r="B61" s="1110" t="s">
        <v>287</v>
      </c>
      <c r="C61" s="1111"/>
      <c r="D61" s="1138" t="s">
        <v>282</v>
      </c>
      <c r="E61" s="1138"/>
      <c r="F61" s="1139"/>
      <c r="G61" s="151"/>
      <c r="H61" s="57"/>
      <c r="I61" s="57"/>
      <c r="J61" s="57"/>
      <c r="K61" s="57"/>
      <c r="L61" s="57"/>
      <c r="M61" s="57"/>
      <c r="N61" s="57"/>
      <c r="O61" s="57"/>
    </row>
    <row r="62" spans="1:39" ht="199.9" customHeight="1" x14ac:dyDescent="0.25">
      <c r="B62" s="1114"/>
      <c r="C62" s="1115"/>
      <c r="D62" s="147" t="s">
        <v>246</v>
      </c>
      <c r="E62" s="147" t="s">
        <v>242</v>
      </c>
      <c r="F62" s="148" t="s">
        <v>86</v>
      </c>
      <c r="G62" s="72"/>
      <c r="H62" s="57"/>
      <c r="I62" s="57"/>
      <c r="J62" s="57"/>
      <c r="K62" s="57"/>
      <c r="L62" s="57"/>
      <c r="M62" s="57"/>
      <c r="N62" s="57"/>
      <c r="O62" s="57"/>
    </row>
    <row r="63" spans="1:39" ht="199.9" customHeight="1" x14ac:dyDescent="0.25">
      <c r="B63" s="1132" t="s">
        <v>227</v>
      </c>
      <c r="C63" s="147" t="s">
        <v>246</v>
      </c>
      <c r="D63" s="142"/>
      <c r="E63" s="143" cm="1">
        <f t="array" ref="E63">SUMPRODUCT(ISNUMBER(SEARCH('17 Cooking Costs'!$E$18:$J$18, '17 Cooking Costs'!H12)) *'17 Cooking Costs'!$E$23:$J$23)</f>
        <v>1035.1907839919641</v>
      </c>
      <c r="F63" s="150" cm="1">
        <f t="array" ref="F63">SUMPRODUCT(ISNUMBER(SEARCH('17 Cooking Costs'!$E$18:$J$18, '17 Cooking Costs'!I12)) *'17 Cooking Costs'!$E$23:$J$23)</f>
        <v>1035.1907839919641</v>
      </c>
      <c r="G63" s="72"/>
      <c r="H63" s="57"/>
      <c r="I63" s="57"/>
      <c r="J63" s="57"/>
      <c r="K63" s="57"/>
      <c r="L63" s="57"/>
      <c r="M63" s="57"/>
      <c r="N63" s="57"/>
      <c r="O63" s="57"/>
    </row>
    <row r="64" spans="1:39" ht="199.9" customHeight="1" x14ac:dyDescent="0.25">
      <c r="B64" s="1132"/>
      <c r="C64" s="147" t="s">
        <v>242</v>
      </c>
      <c r="D64" s="143" cm="1">
        <f t="array" ref="D64">SUMPRODUCT(ISNUMBER(SEARCH('17 Cooking Costs'!$E$18:$J$18, '17 Cooking Costs'!G13)) *'17 Cooking Costs'!$E$23:$J$23)</f>
        <v>1029.1784851435959</v>
      </c>
      <c r="E64" s="142"/>
      <c r="F64" s="150" cm="1">
        <f t="array" ref="F64">SUMPRODUCT(ISNUMBER(SEARCH('17 Cooking Costs'!$E$18:$J$18, '17 Cooking Costs'!I13)) *'17 Cooking Costs'!$E$23:$J$23)</f>
        <v>1247.6272963175904</v>
      </c>
      <c r="G64" s="72"/>
      <c r="H64" s="57"/>
      <c r="I64" s="57"/>
      <c r="J64" s="57"/>
      <c r="K64" s="57"/>
      <c r="L64" s="57"/>
      <c r="M64" s="57"/>
      <c r="N64" s="57"/>
      <c r="O64" s="57"/>
    </row>
    <row r="65" spans="2:15" ht="199.9" customHeight="1" thickBot="1" x14ac:dyDescent="0.3">
      <c r="B65" s="1133"/>
      <c r="C65" s="137" t="s">
        <v>86</v>
      </c>
      <c r="D65" s="354" cm="1">
        <f t="array" ref="D65">SUMPRODUCT(ISNUMBER(SEARCH('17 Cooking Costs'!$E$18:$J$18, '17 Cooking Costs'!G14)) *'17 Cooking Costs'!$E$23:$J$23)</f>
        <v>1029.1784851435959</v>
      </c>
      <c r="E65" s="354" cm="1">
        <f t="array" ref="E65">SUMPRODUCT(ISNUMBER(SEARCH('17 Cooking Costs'!$E$18:$J$18, '17 Cooking Costs'!H14)) *'17 Cooking Costs'!$E$23:$J$23)</f>
        <v>1247.6272963175904</v>
      </c>
      <c r="F65" s="426"/>
      <c r="G65" s="72"/>
      <c r="H65" s="57"/>
      <c r="I65" s="57"/>
      <c r="J65" s="57"/>
      <c r="K65" s="57"/>
      <c r="L65" s="57"/>
      <c r="M65" s="57"/>
      <c r="N65" s="57"/>
      <c r="O65" s="57"/>
    </row>
    <row r="66" spans="2:15" x14ac:dyDescent="0.25">
      <c r="B66" s="151"/>
      <c r="C66" s="59"/>
      <c r="D66" s="59"/>
      <c r="E66" s="59"/>
      <c r="F66" s="59"/>
      <c r="G66" s="59"/>
      <c r="H66" s="57"/>
      <c r="I66" s="57"/>
      <c r="J66" s="57"/>
      <c r="K66" s="57"/>
      <c r="L66" s="57"/>
      <c r="M66" s="57"/>
      <c r="N66" s="57"/>
      <c r="O66" s="57"/>
    </row>
    <row r="67" spans="2:15" x14ac:dyDescent="0.25">
      <c r="C67" s="57"/>
      <c r="D67" s="57"/>
      <c r="E67" s="57"/>
      <c r="F67" s="57"/>
      <c r="G67" s="57"/>
      <c r="H67" s="57"/>
      <c r="I67" s="57"/>
      <c r="J67" s="57"/>
      <c r="K67" s="57"/>
      <c r="L67" s="57"/>
      <c r="M67" s="57"/>
      <c r="N67" s="57"/>
      <c r="O67" s="57"/>
    </row>
    <row r="68" spans="2:15" x14ac:dyDescent="0.25">
      <c r="C68" s="57"/>
      <c r="D68" s="57"/>
      <c r="E68" s="57"/>
      <c r="F68" s="57"/>
      <c r="G68" s="57"/>
      <c r="H68" s="57"/>
      <c r="I68" s="57"/>
      <c r="J68" s="57"/>
      <c r="K68" s="57"/>
      <c r="L68" s="57"/>
      <c r="M68" s="57"/>
      <c r="N68" s="57"/>
      <c r="O68" s="57"/>
    </row>
    <row r="69" spans="2:15" x14ac:dyDescent="0.25">
      <c r="C69" s="57"/>
      <c r="D69" s="57"/>
      <c r="E69" s="57"/>
      <c r="F69" s="57"/>
      <c r="G69" s="57"/>
      <c r="H69" s="57"/>
      <c r="I69" s="57"/>
      <c r="J69" s="57"/>
      <c r="K69" s="57"/>
      <c r="L69" s="57"/>
      <c r="M69" s="57"/>
      <c r="N69" s="57"/>
      <c r="O69" s="57"/>
    </row>
    <row r="70" spans="2:15" x14ac:dyDescent="0.25">
      <c r="C70" s="57"/>
      <c r="D70" s="57"/>
      <c r="E70" s="57"/>
      <c r="F70" s="57"/>
      <c r="G70" s="57"/>
      <c r="H70" s="57"/>
      <c r="I70" s="57"/>
      <c r="J70" s="57"/>
      <c r="K70" s="57"/>
      <c r="L70" s="57"/>
      <c r="M70" s="57"/>
      <c r="N70" s="57"/>
      <c r="O70" s="57"/>
    </row>
    <row r="71" spans="2:15" x14ac:dyDescent="0.25">
      <c r="C71" s="57"/>
      <c r="D71" s="57"/>
      <c r="E71" s="57"/>
      <c r="F71" s="57"/>
      <c r="G71" s="57"/>
      <c r="H71" s="57"/>
      <c r="I71" s="57"/>
      <c r="J71" s="57"/>
      <c r="K71" s="57"/>
      <c r="L71" s="57"/>
      <c r="M71" s="57"/>
      <c r="N71" s="57"/>
      <c r="O71" s="57"/>
    </row>
    <row r="72" spans="2:15" x14ac:dyDescent="0.25">
      <c r="C72" s="57"/>
      <c r="D72" s="57"/>
      <c r="E72" s="57"/>
      <c r="F72" s="57"/>
      <c r="G72" s="57"/>
      <c r="H72" s="57"/>
      <c r="I72" s="57"/>
      <c r="J72" s="57"/>
      <c r="K72" s="57"/>
      <c r="L72" s="57"/>
      <c r="M72" s="57"/>
      <c r="N72" s="57"/>
      <c r="O72" s="57"/>
    </row>
    <row r="73" spans="2:15" x14ac:dyDescent="0.25">
      <c r="C73" s="57"/>
      <c r="D73" s="57"/>
      <c r="E73" s="57"/>
      <c r="F73" s="57"/>
      <c r="G73" s="57"/>
      <c r="H73" s="57"/>
      <c r="I73" s="57"/>
      <c r="J73" s="57"/>
      <c r="K73" s="57"/>
      <c r="L73" s="57"/>
      <c r="M73" s="57"/>
      <c r="N73" s="57"/>
      <c r="O73" s="57"/>
    </row>
  </sheetData>
  <mergeCells count="88">
    <mergeCell ref="AF26:AF30"/>
    <mergeCell ref="B23:C25"/>
    <mergeCell ref="Q23:R25"/>
    <mergeCell ref="AF23:AG25"/>
    <mergeCell ref="B63:B65"/>
    <mergeCell ref="B53:C54"/>
    <mergeCell ref="D53:G53"/>
    <mergeCell ref="B55:B58"/>
    <mergeCell ref="B60:F60"/>
    <mergeCell ref="B61:C62"/>
    <mergeCell ref="D61:F61"/>
    <mergeCell ref="B52:G52"/>
    <mergeCell ref="B26:B30"/>
    <mergeCell ref="Q26:Q30"/>
    <mergeCell ref="B32:H32"/>
    <mergeCell ref="Q32:W32"/>
    <mergeCell ref="AF6:AS6"/>
    <mergeCell ref="AH7:AS7"/>
    <mergeCell ref="B9:B20"/>
    <mergeCell ref="Q9:Q20"/>
    <mergeCell ref="AF9:AF20"/>
    <mergeCell ref="B7:C8"/>
    <mergeCell ref="D7:O7"/>
    <mergeCell ref="Q7:R8"/>
    <mergeCell ref="S7:AD7"/>
    <mergeCell ref="AF7:AG8"/>
    <mergeCell ref="L1:L3"/>
    <mergeCell ref="C5:O5"/>
    <mergeCell ref="B6:O6"/>
    <mergeCell ref="Q6:AD6"/>
    <mergeCell ref="W24:W25"/>
    <mergeCell ref="U24:U25"/>
    <mergeCell ref="V24:V25"/>
    <mergeCell ref="AF32:AL32"/>
    <mergeCell ref="B33:C35"/>
    <mergeCell ref="D33:H33"/>
    <mergeCell ref="Q33:R35"/>
    <mergeCell ref="S33:W33"/>
    <mergeCell ref="AF33:AG35"/>
    <mergeCell ref="AH33:AL33"/>
    <mergeCell ref="D34:D35"/>
    <mergeCell ref="E34:E35"/>
    <mergeCell ref="F34:F35"/>
    <mergeCell ref="G34:G35"/>
    <mergeCell ref="H34:H35"/>
    <mergeCell ref="S34:S35"/>
    <mergeCell ref="T34:T35"/>
    <mergeCell ref="U34:U35"/>
    <mergeCell ref="V34:V35"/>
    <mergeCell ref="W34:W35"/>
    <mergeCell ref="B36:B40"/>
    <mergeCell ref="Q36:Q40"/>
    <mergeCell ref="AF36:AF40"/>
    <mergeCell ref="B42:H42"/>
    <mergeCell ref="Q42:W42"/>
    <mergeCell ref="AF42:AL42"/>
    <mergeCell ref="B43:C45"/>
    <mergeCell ref="D43:H43"/>
    <mergeCell ref="Q43:R45"/>
    <mergeCell ref="S43:W43"/>
    <mergeCell ref="AF43:AG45"/>
    <mergeCell ref="AH43:AL43"/>
    <mergeCell ref="D44:D45"/>
    <mergeCell ref="E44:E45"/>
    <mergeCell ref="F44:F45"/>
    <mergeCell ref="G44:G45"/>
    <mergeCell ref="H44:H45"/>
    <mergeCell ref="S44:S45"/>
    <mergeCell ref="T44:T45"/>
    <mergeCell ref="U44:U45"/>
    <mergeCell ref="V44:V45"/>
    <mergeCell ref="W44:W45"/>
    <mergeCell ref="B46:B50"/>
    <mergeCell ref="Q46:Q50"/>
    <mergeCell ref="AF46:AF50"/>
    <mergeCell ref="B22:H22"/>
    <mergeCell ref="Q22:W22"/>
    <mergeCell ref="AF22:AL22"/>
    <mergeCell ref="D23:H23"/>
    <mergeCell ref="S23:W23"/>
    <mergeCell ref="AH23:AL23"/>
    <mergeCell ref="D24:D25"/>
    <mergeCell ref="E24:E25"/>
    <mergeCell ref="F24:F25"/>
    <mergeCell ref="G24:G25"/>
    <mergeCell ref="H24:H25"/>
    <mergeCell ref="S24:S25"/>
    <mergeCell ref="T24:T2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6EF26-9B14-45DC-9926-A3870242F65A}">
  <sheetPr>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26.1"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1176</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Costs'!$C$13:$AW$13)</f>
        <v>4690.4058782656139</v>
      </c>
      <c r="G10" s="140" cm="1">
        <f t="array" ref="G10">SUMPRODUCT(ISNUMBER( SEARCH('13 Space Heating Costs'!$C$7:$AW$7,'12 Space Heating Subcomponents'!I12)) *'13 Space Heating Costs'!$C$13:$AW$13)</f>
        <v>6208.3127663943569</v>
      </c>
      <c r="H10" s="140" cm="1">
        <f t="array" ref="H10">SUMPRODUCT(ISNUMBER( SEARCH('13 Space Heating Costs'!$C$7:$AW$7,'12 Space Heating Subcomponents'!J12)) *'13 Space Heating Costs'!$C$13:$AW$13)</f>
        <v>8126.3615507471713</v>
      </c>
      <c r="I10" s="140" cm="1">
        <f t="array" ref="I10">SUMPRODUCT(ISNUMBER( SEARCH('13 Space Heating Costs'!$C$7:$AW$7,'12 Space Heating Subcomponents'!K12)) *'13 Space Heating Costs'!$C$13:$AW$13)</f>
        <v>3878.3988825743572</v>
      </c>
      <c r="J10" s="140" cm="1">
        <f t="array" ref="J10">SUMPRODUCT(ISNUMBER( SEARCH('13 Space Heating Costs'!$C$7:$AW$7,'12 Space Heating Subcomponents'!L12)) *'13 Space Heating Costs'!$C$13:$AW$13)</f>
        <v>7263.2065874731734</v>
      </c>
      <c r="K10" s="140" cm="1">
        <f t="array" ref="K10">SUMPRODUCT(ISNUMBER( SEARCH('13 Space Heating Costs'!$C$7:$AW$7,'12 Space Heating Subcomponents'!M12)) *'13 Space Heating Costs'!$C$13:$AW$13)</f>
        <v>4441.0265259845164</v>
      </c>
      <c r="L10" s="140" cm="1">
        <f t="array" ref="L10">SUMPRODUCT(ISNUMBER( SEARCH('13 Space Heating Costs'!$C$7:$AW$7,'12 Space Heating Subcomponents'!N12)) *'13 Space Heating Costs'!$C$13:$AW$13)</f>
        <v>8005.4914670177131</v>
      </c>
      <c r="M10" s="140" cm="1">
        <f t="array" ref="M10">SUMPRODUCT(ISNUMBER( SEARCH('13 Space Heating Costs'!$C$7:$AW$7,'12 Space Heating Subcomponents'!O12)) *'13 Space Heating Costs'!$C$13:$AW$13)</f>
        <v>4441.0265259845164</v>
      </c>
      <c r="N10" s="140" cm="1">
        <f t="array" ref="N10">SUMPRODUCT(ISNUMBER( SEARCH('13 Space Heating Costs'!$C$7:$AW$7,'12 Space Heating Subcomponents'!P12)) *'13 Space Heating Costs'!$C$13:$AW$13)</f>
        <v>4332.3701051864218</v>
      </c>
      <c r="O10" s="402" cm="1">
        <f t="array" ref="O10">SUMPRODUCT(ISNUMBER( SEARCH('13 Space Heating Costs'!$C$7:$AW$7,'12 Space Heating Subcomponents'!Q12)) *'13 Space Heating Costs'!$C$13:$AW$13)</f>
        <v>10178.640739689452</v>
      </c>
      <c r="P10" s="72"/>
      <c r="Q10" s="1105"/>
      <c r="R10" s="181" t="s">
        <v>242</v>
      </c>
      <c r="S10" s="181" t="s">
        <v>243</v>
      </c>
      <c r="T10" s="139"/>
      <c r="U10" s="140" cm="1">
        <f t="array" ref="U10">SUMPRODUCT(ISNUMBER( SEARCH('13 Space Heating Costs'!$C$7:$AW$7,'12 Space Heating Subcomponents'!H28)) *'13 Space Heating Costs'!$C$13:$AW$13)</f>
        <v>5290.0406741435099</v>
      </c>
      <c r="V10" s="140" cm="1">
        <f t="array" ref="V10">SUMPRODUCT(ISNUMBER( SEARCH('13 Space Heating Costs'!$C$7:$AW$7,'12 Space Heating Subcomponents'!I28)) *'13 Space Heating Costs'!$C$13:$AW$13)</f>
        <v>6807.947562272253</v>
      </c>
      <c r="W10" s="140" cm="1">
        <f t="array" ref="W10">SUMPRODUCT(ISNUMBER( SEARCH('13 Space Heating Costs'!$C$7:$AW$7,'12 Space Heating Subcomponents'!J28)) *'13 Space Heating Costs'!$C$13:$AW$13)</f>
        <v>8725.9963466250665</v>
      </c>
      <c r="X10" s="140" cm="1">
        <f t="array" ref="X10">SUMPRODUCT(ISNUMBER( SEARCH('13 Space Heating Costs'!$C$7:$AW$7,'12 Space Heating Subcomponents'!K28)) *'13 Space Heating Costs'!$C$13:$AW$13)</f>
        <v>4478.0336784522533</v>
      </c>
      <c r="Y10" s="140" cm="1">
        <f t="array" ref="Y10">SUMPRODUCT(ISNUMBER( SEARCH('13 Space Heating Costs'!$C$7:$AW$7,'12 Space Heating Subcomponents'!L28)) *'13 Space Heating Costs'!$C$13:$AW$13)</f>
        <v>7862.8413833510695</v>
      </c>
      <c r="Z10" s="140" cm="1">
        <f t="array" ref="Z10">SUMPRODUCT(ISNUMBER( SEARCH('13 Space Heating Costs'!$C$7:$AW$7,'12 Space Heating Subcomponents'!M28)) *'13 Space Heating Costs'!$C$13:$AW$13)</f>
        <v>5040.6613218624125</v>
      </c>
      <c r="AA10" s="140" cm="1">
        <f t="array" ref="AA10">SUMPRODUCT(ISNUMBER( SEARCH('13 Space Heating Costs'!$C$7:$AW$7,'12 Space Heating Subcomponents'!N28)) *'13 Space Heating Costs'!$C$13:$AW$13)</f>
        <v>8605.1262628956101</v>
      </c>
      <c r="AB10" s="140" cm="1">
        <f t="array" ref="AB10">SUMPRODUCT(ISNUMBER( SEARCH('13 Space Heating Costs'!$C$7:$AW$7,'12 Space Heating Subcomponents'!O28)) *'13 Space Heating Costs'!$C$13:$AW$13)</f>
        <v>5040.6613218624125</v>
      </c>
      <c r="AC10" s="140" cm="1">
        <f t="array" ref="AC10">SUMPRODUCT(ISNUMBER( SEARCH('13 Space Heating Costs'!$C$7:$AW$7,'12 Space Heating Subcomponents'!P28)) *'13 Space Heating Costs'!$C$13:$AW$13)</f>
        <v>4932.0049010643179</v>
      </c>
      <c r="AD10" s="402" cm="1">
        <f t="array" ref="AD10">SUMPRODUCT(ISNUMBER( SEARCH('13 Space Heating Costs'!$C$7:$AW$7,'12 Space Heating Subcomponents'!Q28)) *'13 Space Heating Costs'!$C$13:$AW$13)</f>
        <v>10778.275535567347</v>
      </c>
      <c r="AE10" s="72"/>
      <c r="AF10" s="1105"/>
      <c r="AG10" s="181" t="s">
        <v>242</v>
      </c>
      <c r="AH10" s="181" t="s">
        <v>243</v>
      </c>
      <c r="AI10" s="139"/>
      <c r="AJ10" s="140" cm="1">
        <f t="array" ref="AJ10">SUMPRODUCT(ISNUMBER( SEARCH('13 Space Heating Costs'!$C$7:$AW$7,'12 Space Heating Subcomponents'!H44)) *'13 Space Heating Costs'!$C$13:$AW$13)</f>
        <v>3931.7734337700222</v>
      </c>
      <c r="AK10" s="140" cm="1">
        <f t="array" ref="AK10">SUMPRODUCT(ISNUMBER( SEARCH('13 Space Heating Costs'!$C$7:$AW$7,'12 Space Heating Subcomponents'!I44)) *'13 Space Heating Costs'!$C$13:$AW$13)</f>
        <v>5449.6803218987652</v>
      </c>
      <c r="AL10" s="140" cm="1">
        <f t="array" ref="AL10">SUMPRODUCT(ISNUMBER( SEARCH('13 Space Heating Costs'!$C$7:$AW$7,'12 Space Heating Subcomponents'!J44)) *'13 Space Heating Costs'!$C$13:$AW$13)</f>
        <v>7367.7291062515797</v>
      </c>
      <c r="AM10" s="140" cm="1">
        <f t="array" ref="AM10">SUMPRODUCT(ISNUMBER( SEARCH('13 Space Heating Costs'!$C$7:$AW$7,'12 Space Heating Subcomponents'!K44)) *'13 Space Heating Costs'!$C$13:$AW$13)</f>
        <v>3119.7664380787655</v>
      </c>
      <c r="AN10" s="140" cm="1">
        <f t="array" ref="AN10">SUMPRODUCT(ISNUMBER( SEARCH('13 Space Heating Costs'!$C$7:$AW$7,'12 Space Heating Subcomponents'!L44)) *'13 Space Heating Costs'!$C$13:$AW$13)</f>
        <v>6504.5741429775817</v>
      </c>
      <c r="AO10" s="140" cm="1">
        <f t="array" ref="AO10">SUMPRODUCT(ISNUMBER( SEARCH('13 Space Heating Costs'!$C$7:$AW$7,'12 Space Heating Subcomponents'!M44)) *'13 Space Heating Costs'!$C$13:$AW$13)</f>
        <v>3682.3940814889247</v>
      </c>
      <c r="AP10" s="140" cm="1">
        <f t="array" ref="AP10">SUMPRODUCT(ISNUMBER( SEARCH('13 Space Heating Costs'!$C$7:$AW$7,'12 Space Heating Subcomponents'!N44)) *'13 Space Heating Costs'!$C$13:$AW$13)</f>
        <v>7246.8590225221214</v>
      </c>
      <c r="AQ10" s="140" cm="1">
        <f t="array" ref="AQ10">SUMPRODUCT(ISNUMBER( SEARCH('13 Space Heating Costs'!$C$7:$AW$7,'12 Space Heating Subcomponents'!O44)) *'13 Space Heating Costs'!$C$13:$AW$13)</f>
        <v>3682.3940814889247</v>
      </c>
      <c r="AR10" s="140" cm="1">
        <f t="array" ref="AR10">SUMPRODUCT(ISNUMBER( SEARCH('13 Space Heating Costs'!$C$7:$AW$7,'12 Space Heating Subcomponents'!P44)) *'13 Space Heating Costs'!$C$13:$AW$13)</f>
        <v>3573.7376606908301</v>
      </c>
      <c r="AS10" s="402" cm="1">
        <f t="array" ref="AS10">SUMPRODUCT(ISNUMBER( SEARCH('13 Space Heating Costs'!$C$7:$AW$7,'12 Space Heating Subcomponents'!Q44)) *'13 Space Heating Costs'!$C$13:$AW$13)</f>
        <v>9420.0082951938602</v>
      </c>
      <c r="AT10" s="72"/>
    </row>
    <row r="11" spans="1:46" ht="200.1" customHeight="1" x14ac:dyDescent="0.25">
      <c r="A11" s="60"/>
      <c r="B11" s="1105"/>
      <c r="C11" s="182" t="s">
        <v>244</v>
      </c>
      <c r="D11" s="182" t="s">
        <v>243</v>
      </c>
      <c r="E11" s="139"/>
      <c r="F11" s="139"/>
      <c r="G11" s="139"/>
      <c r="H11" s="139"/>
      <c r="I11" s="139"/>
      <c r="J11" s="139"/>
      <c r="K11" s="139"/>
      <c r="L11" s="139"/>
      <c r="M11" s="139"/>
      <c r="N11" s="139"/>
      <c r="O11" s="141"/>
      <c r="P11" s="72"/>
      <c r="Q11" s="1105"/>
      <c r="R11" s="182" t="s">
        <v>244</v>
      </c>
      <c r="S11" s="182" t="s">
        <v>243</v>
      </c>
      <c r="T11" s="139"/>
      <c r="U11" s="139"/>
      <c r="V11" s="139"/>
      <c r="W11" s="139"/>
      <c r="X11" s="139"/>
      <c r="Y11" s="139"/>
      <c r="Z11" s="139"/>
      <c r="AA11" s="139"/>
      <c r="AB11" s="139"/>
      <c r="AC11" s="139"/>
      <c r="AD11" s="141"/>
      <c r="AE11" s="72"/>
      <c r="AF11" s="1105"/>
      <c r="AG11" s="182" t="s">
        <v>244</v>
      </c>
      <c r="AH11" s="182" t="s">
        <v>243</v>
      </c>
      <c r="AI11" s="139"/>
      <c r="AJ11" s="139"/>
      <c r="AK11" s="139"/>
      <c r="AL11" s="139"/>
      <c r="AM11" s="139"/>
      <c r="AN11" s="139"/>
      <c r="AO11" s="139"/>
      <c r="AP11" s="139"/>
      <c r="AQ11" s="139"/>
      <c r="AR11" s="139"/>
      <c r="AS11" s="141"/>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Costs'!$C$13:$AW$13)</f>
        <v>8417.5264137252179</v>
      </c>
      <c r="F12" s="140" cm="1">
        <f t="array" ref="F12">SUMPRODUCT(ISNUMBER( SEARCH('13 Space Heating Costs'!$C$7:$AW$7,'12 Space Heating Subcomponents'!H14)) *'13 Space Heating Costs'!$C$13:$AW$13)</f>
        <v>10328.755469067</v>
      </c>
      <c r="G12" s="139"/>
      <c r="H12" s="140" cm="1">
        <f t="array" ref="H12">SUMPRODUCT(ISNUMBER( SEARCH('13 Space Heating Costs'!$C$7:$AW$7,'12 Space Heating Subcomponents'!J14)) *'13 Space Heating Costs'!$C$13:$AW$13)</f>
        <v>4080.3951572239939</v>
      </c>
      <c r="I12" s="140" cm="1">
        <f t="array" ref="I12">SUMPRODUCT(ISNUMBER( SEARCH('13 Space Heating Costs'!$C$7:$AW$7,'12 Space Heating Subcomponents'!K14)) *'13 Space Heating Costs'!$C$13:$AW$13)</f>
        <v>8570.9354333951014</v>
      </c>
      <c r="J12" s="140" cm="1">
        <f t="array" ref="J12">SUMPRODUCT(ISNUMBER( SEARCH('13 Space Heating Costs'!$C$7:$AW$7,'12 Space Heating Subcomponents'!L14)) *'13 Space Heating Costs'!$C$13:$AW$13)</f>
        <v>8519.7874658123601</v>
      </c>
      <c r="K12" s="140" cm="1">
        <f t="array" ref="K12">SUMPRODUCT(ISNUMBER( SEARCH('13 Space Heating Costs'!$C$7:$AW$7,'12 Space Heating Subcomponents'!M14)) *'13 Space Heating Costs'!$C$13:$AW$13)</f>
        <v>10079.376116785903</v>
      </c>
      <c r="L12" s="140" cm="1">
        <f t="array" ref="L12">SUMPRODUCT(ISNUMBER( SEARCH('13 Space Heating Costs'!$C$7:$AW$7,'12 Space Heating Subcomponents'!N14)) *'13 Space Heating Costs'!$C$13:$AW$13)</f>
        <v>9262.0723453568989</v>
      </c>
      <c r="M12" s="140" cm="1">
        <f t="array" ref="M12">SUMPRODUCT(ISNUMBER( SEARCH('13 Space Heating Costs'!$C$7:$AW$7,'12 Space Heating Subcomponents'!O14)) *'13 Space Heating Costs'!$C$13:$AW$13)</f>
        <v>10079.376116785903</v>
      </c>
      <c r="N12" s="140" cm="1">
        <f t="array" ref="N12">SUMPRODUCT(ISNUMBER( SEARCH('13 Space Heating Costs'!$C$7:$AW$7,'12 Space Heating Subcomponents'!P14)) *'13 Space Heating Costs'!$C$13:$AW$13)</f>
        <v>9970.7196959878092</v>
      </c>
      <c r="O12" s="402" cm="1">
        <f t="array" ref="O12">SUMPRODUCT(ISNUMBER( SEARCH('13 Space Heating Costs'!$C$7:$AW$7,'12 Space Heating Subcomponents'!Q14)) *'13 Space Heating Costs'!$C$13:$AW$13)</f>
        <v>14871.177290510197</v>
      </c>
      <c r="P12" s="72"/>
      <c r="Q12" s="1105"/>
      <c r="R12" s="181" t="s">
        <v>242</v>
      </c>
      <c r="S12" s="181" t="s">
        <v>245</v>
      </c>
      <c r="T12" s="140" cm="1">
        <f t="array" ref="T12">SUMPRODUCT(ISNUMBER( SEARCH('13 Space Heating Costs'!$C$7:$AW$7,'12 Space Heating Subcomponents'!G30)) *'13 Space Heating Costs'!$C$13:$AW$13)</f>
        <v>8852.1719306447339</v>
      </c>
      <c r="U12" s="140" cm="1">
        <f t="array" ref="U12">SUMPRODUCT(ISNUMBER( SEARCH('13 Space Heating Costs'!$C$7:$AW$7,'12 Space Heating Subcomponents'!H30)) *'13 Space Heating Costs'!$C$13:$AW$13)</f>
        <v>10763.400985986518</v>
      </c>
      <c r="V12" s="139"/>
      <c r="W12" s="140" cm="1">
        <f t="array" ref="W12">SUMPRODUCT(ISNUMBER( SEARCH('13 Space Heating Costs'!$C$7:$AW$7,'12 Space Heating Subcomponents'!J30)) *'13 Space Heating Costs'!$C$13:$AW$13)</f>
        <v>4515.0406741435099</v>
      </c>
      <c r="X12" s="140" cm="1">
        <f t="array" ref="X12">SUMPRODUCT(ISNUMBER( SEARCH('13 Space Heating Costs'!$C$7:$AW$7,'12 Space Heating Subcomponents'!K30)) *'13 Space Heating Costs'!$C$13:$AW$13)</f>
        <v>9005.5809503146193</v>
      </c>
      <c r="Y12" s="140" cm="1">
        <f t="array" ref="Y12">SUMPRODUCT(ISNUMBER( SEARCH('13 Space Heating Costs'!$C$7:$AW$7,'12 Space Heating Subcomponents'!L30)) *'13 Space Heating Costs'!$C$13:$AW$13)</f>
        <v>8954.4329827318761</v>
      </c>
      <c r="Z12" s="140" cm="1">
        <f t="array" ref="Z12">SUMPRODUCT(ISNUMBER( SEARCH('13 Space Heating Costs'!$C$7:$AW$7,'12 Space Heating Subcomponents'!M30)) *'13 Space Heating Costs'!$C$13:$AW$13)</f>
        <v>10514.021633705419</v>
      </c>
      <c r="AA12" s="140" cm="1">
        <f t="array" ref="AA12">SUMPRODUCT(ISNUMBER( SEARCH('13 Space Heating Costs'!$C$7:$AW$7,'12 Space Heating Subcomponents'!N30)) *'13 Space Heating Costs'!$C$13:$AW$13)</f>
        <v>9696.717862276415</v>
      </c>
      <c r="AB12" s="140" cm="1">
        <f t="array" ref="AB12">SUMPRODUCT(ISNUMBER( SEARCH('13 Space Heating Costs'!$C$7:$AW$7,'12 Space Heating Subcomponents'!O30)) *'13 Space Heating Costs'!$C$13:$AW$13)</f>
        <v>10514.021633705419</v>
      </c>
      <c r="AC12" s="140" cm="1">
        <f t="array" ref="AC12">SUMPRODUCT(ISNUMBER( SEARCH('13 Space Heating Costs'!$C$7:$AW$7,'12 Space Heating Subcomponents'!P30)) *'13 Space Heating Costs'!$C$13:$AW$13)</f>
        <v>10405.365212907327</v>
      </c>
      <c r="AD12" s="402" cm="1">
        <f t="array" ref="AD12">SUMPRODUCT(ISNUMBER( SEARCH('13 Space Heating Costs'!$C$7:$AW$7,'12 Space Heating Subcomponents'!Q30)) *'13 Space Heating Costs'!$C$13:$AW$13)</f>
        <v>15305.822807429715</v>
      </c>
      <c r="AE12" s="72"/>
      <c r="AF12" s="1105"/>
      <c r="AG12" s="181" t="s">
        <v>242</v>
      </c>
      <c r="AH12" s="181" t="s">
        <v>245</v>
      </c>
      <c r="AI12" s="140" cm="1">
        <f t="array" ref="AI12">SUMPRODUCT(ISNUMBER( SEARCH('13 Space Heating Costs'!$C$7:$AW$7,'12 Space Heating Subcomponents'!G46)) *'13 Space Heating Costs'!$C$13:$AW$13)</f>
        <v>7493.9046902712471</v>
      </c>
      <c r="AJ12" s="140" cm="1">
        <f t="array" ref="AJ12">SUMPRODUCT(ISNUMBER( SEARCH('13 Space Heating Costs'!$C$7:$AW$7,'12 Space Heating Subcomponents'!H46)) *'13 Space Heating Costs'!$C$13:$AW$13)</f>
        <v>9405.1337456130295</v>
      </c>
      <c r="AK12" s="139"/>
      <c r="AL12" s="140" cm="1">
        <f t="array" ref="AL12">SUMPRODUCT(ISNUMBER( SEARCH('13 Space Heating Costs'!$C$7:$AW$7,'12 Space Heating Subcomponents'!J46)) *'13 Space Heating Costs'!$C$13:$AW$13)</f>
        <v>3156.7734337700222</v>
      </c>
      <c r="AM12" s="140" cm="1">
        <f t="array" ref="AM12">SUMPRODUCT(ISNUMBER( SEARCH('13 Space Heating Costs'!$C$7:$AW$7,'12 Space Heating Subcomponents'!K46)) *'13 Space Heating Costs'!$C$13:$AW$13)</f>
        <v>7647.3137099411306</v>
      </c>
      <c r="AN12" s="140" cm="1">
        <f t="array" ref="AN12">SUMPRODUCT(ISNUMBER( SEARCH('13 Space Heating Costs'!$C$7:$AW$7,'12 Space Heating Subcomponents'!L46)) *'13 Space Heating Costs'!$C$13:$AW$13)</f>
        <v>7596.1657423583883</v>
      </c>
      <c r="AO12" s="140" cm="1">
        <f t="array" ref="AO12">SUMPRODUCT(ISNUMBER( SEARCH('13 Space Heating Costs'!$C$7:$AW$7,'12 Space Heating Subcomponents'!M46)) *'13 Space Heating Costs'!$C$13:$AW$13)</f>
        <v>9155.7543933319321</v>
      </c>
      <c r="AP12" s="140" cm="1">
        <f t="array" ref="AP12">SUMPRODUCT(ISNUMBER( SEARCH('13 Space Heating Costs'!$C$7:$AW$7,'12 Space Heating Subcomponents'!N46)) *'13 Space Heating Costs'!$C$13:$AW$13)</f>
        <v>8338.4506219029281</v>
      </c>
      <c r="AQ12" s="140" cm="1">
        <f t="array" ref="AQ12">SUMPRODUCT(ISNUMBER( SEARCH('13 Space Heating Costs'!$C$7:$AW$7,'12 Space Heating Subcomponents'!O46)) *'13 Space Heating Costs'!$C$13:$AW$13)</f>
        <v>9155.7543933319321</v>
      </c>
      <c r="AR12" s="140" cm="1">
        <f t="array" ref="AR12">SUMPRODUCT(ISNUMBER( SEARCH('13 Space Heating Costs'!$C$7:$AW$7,'12 Space Heating Subcomponents'!P46)) *'13 Space Heating Costs'!$C$13:$AW$13)</f>
        <v>9047.0979725338384</v>
      </c>
      <c r="AS12" s="402" cm="1">
        <f t="array" ref="AS12">SUMPRODUCT(ISNUMBER( SEARCH('13 Space Heating Costs'!$C$7:$AW$7,'12 Space Heating Subcomponents'!Q46)) *'13 Space Heating Costs'!$C$13:$AW$13)</f>
        <v>13947.555567056226</v>
      </c>
      <c r="AT12" s="72"/>
    </row>
    <row r="13" spans="1:46" ht="200.1" customHeight="1" x14ac:dyDescent="0.25">
      <c r="A13" s="60"/>
      <c r="B13" s="1105"/>
      <c r="C13" s="182" t="s">
        <v>244</v>
      </c>
      <c r="D13" s="182" t="s">
        <v>245</v>
      </c>
      <c r="E13" s="139"/>
      <c r="F13" s="139"/>
      <c r="G13" s="139"/>
      <c r="H13" s="139"/>
      <c r="I13" s="139"/>
      <c r="J13" s="139"/>
      <c r="K13" s="139"/>
      <c r="L13" s="139"/>
      <c r="M13" s="139"/>
      <c r="N13" s="139"/>
      <c r="O13" s="141"/>
      <c r="P13" s="72"/>
      <c r="Q13" s="1105"/>
      <c r="R13" s="182" t="s">
        <v>244</v>
      </c>
      <c r="S13" s="182" t="s">
        <v>245</v>
      </c>
      <c r="T13" s="139"/>
      <c r="U13" s="139"/>
      <c r="V13" s="139"/>
      <c r="W13" s="139"/>
      <c r="X13" s="139"/>
      <c r="Y13" s="139"/>
      <c r="Z13" s="139"/>
      <c r="AA13" s="139"/>
      <c r="AB13" s="139"/>
      <c r="AC13" s="139"/>
      <c r="AD13" s="141"/>
      <c r="AE13" s="72"/>
      <c r="AF13" s="1105"/>
      <c r="AG13" s="182" t="s">
        <v>244</v>
      </c>
      <c r="AH13" s="182" t="s">
        <v>245</v>
      </c>
      <c r="AI13" s="139"/>
      <c r="AJ13" s="139"/>
      <c r="AK13" s="139"/>
      <c r="AL13" s="139"/>
      <c r="AM13" s="139"/>
      <c r="AN13" s="139"/>
      <c r="AO13" s="139"/>
      <c r="AP13" s="139"/>
      <c r="AQ13" s="139"/>
      <c r="AR13" s="139"/>
      <c r="AS13" s="141"/>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Costs'!$C$13:$AW$13)</f>
        <v>2083.2057992668633</v>
      </c>
      <c r="F14" s="140" cm="1">
        <f t="array" ref="F14">SUMPRODUCT(ISNUMBER( SEARCH('13 Space Heating Costs'!$C$7:$AW$7,'12 Space Heating Subcomponents'!H16)) *'13 Space Heating Costs'!$C$13:$AW$13)</f>
        <v>3431.807211198487</v>
      </c>
      <c r="G14" s="140" cm="1">
        <f t="array" ref="G14">SUMPRODUCT(ISNUMBER( SEARCH('13 Space Heating Costs'!$C$7:$AW$7,'12 Space Heating Subcomponents'!I16)) *'13 Space Heating Costs'!$C$13:$AW$13)</f>
        <v>5512.3417427373888</v>
      </c>
      <c r="H14" s="140" cm="1">
        <f t="array" ref="H14">SUMPRODUCT(ISNUMBER( SEARCH('13 Space Heating Costs'!$C$7:$AW$7,'12 Space Heating Subcomponents'!J16)) *'13 Space Heating Costs'!$C$13:$AW$13)</f>
        <v>6867.762883680045</v>
      </c>
      <c r="I14" s="139"/>
      <c r="J14" s="140" cm="1">
        <f t="array" ref="J14">SUMPRODUCT(ISNUMBER( SEARCH('13 Space Heating Costs'!$C$7:$AW$7,'12 Space Heating Subcomponents'!L16)) *'13 Space Heating Costs'!$C$13:$AW$13)</f>
        <v>5307.7498724064217</v>
      </c>
      <c r="K14" s="140" cm="1">
        <f t="array" ref="K14">SUMPRODUCT(ISNUMBER( SEARCH('13 Space Heating Costs'!$C$7:$AW$7,'12 Space Heating Subcomponents'!M16)) *'13 Space Heating Costs'!$C$13:$AW$13)</f>
        <v>2485.5698109177652</v>
      </c>
      <c r="L14" s="140" cm="1">
        <f t="array" ref="L14">SUMPRODUCT(ISNUMBER( SEARCH('13 Space Heating Costs'!$C$7:$AW$7,'12 Space Heating Subcomponents'!N16)) *'13 Space Heating Costs'!$C$13:$AW$13)</f>
        <v>6050.0347519509614</v>
      </c>
      <c r="M14" s="140" cm="1">
        <f t="array" ref="M14">SUMPRODUCT(ISNUMBER( SEARCH('13 Space Heating Costs'!$C$7:$AW$7,'12 Space Heating Subcomponents'!O16)) *'13 Space Heating Costs'!$C$13:$AW$13)</f>
        <v>2485.5698109177652</v>
      </c>
      <c r="N14" s="140" cm="1">
        <f t="array" ref="N14">SUMPRODUCT(ISNUMBER( SEARCH('13 Space Heating Costs'!$C$7:$AW$7,'12 Space Heating Subcomponents'!P16)) *'13 Space Heating Costs'!$C$13:$AW$13)</f>
        <v>3073.771438119295</v>
      </c>
      <c r="O14" s="402" cm="1">
        <f t="array" ref="O14">SUMPRODUCT(ISNUMBER( SEARCH('13 Space Heating Costs'!$C$7:$AW$7,'12 Space Heating Subcomponents'!Q16)) *'13 Space Heating Costs'!$C$13:$AW$13)</f>
        <v>7379.8337274460609</v>
      </c>
      <c r="P14" s="72"/>
      <c r="Q14" s="1105"/>
      <c r="R14" s="182" t="s">
        <v>246</v>
      </c>
      <c r="S14" s="182" t="s">
        <v>243</v>
      </c>
      <c r="T14" s="140" cm="1">
        <f t="array" ref="T14">SUMPRODUCT(ISNUMBER( SEARCH('13 Space Heating Costs'!$C$7:$AW$7,'12 Space Heating Subcomponents'!G32)) *'13 Space Heating Costs'!$C$13:$AW$13)</f>
        <v>2083.2057992668633</v>
      </c>
      <c r="U14" s="140" cm="1">
        <f t="array" ref="U14">SUMPRODUCT(ISNUMBER( SEARCH('13 Space Heating Costs'!$C$7:$AW$7,'12 Space Heating Subcomponents'!H32)) *'13 Space Heating Costs'!$C$13:$AW$13)</f>
        <v>3431.807211198487</v>
      </c>
      <c r="V14" s="140" cm="1">
        <f t="array" ref="V14">SUMPRODUCT(ISNUMBER( SEARCH('13 Space Heating Costs'!$C$7:$AW$7,'12 Space Heating Subcomponents'!I32)) *'13 Space Heating Costs'!$C$13:$AW$13)</f>
        <v>5512.3417427373888</v>
      </c>
      <c r="W14" s="140" cm="1">
        <f t="array" ref="W14">SUMPRODUCT(ISNUMBER( SEARCH('13 Space Heating Costs'!$C$7:$AW$7,'12 Space Heating Subcomponents'!J32)) *'13 Space Heating Costs'!$C$13:$AW$13)</f>
        <v>6867.762883680045</v>
      </c>
      <c r="X14" s="139"/>
      <c r="Y14" s="140" cm="1">
        <f t="array" ref="Y14">SUMPRODUCT(ISNUMBER( SEARCH('13 Space Heating Costs'!$C$7:$AW$7,'12 Space Heating Subcomponents'!L32)) *'13 Space Heating Costs'!$C$13:$AW$13)</f>
        <v>5307.7498724064217</v>
      </c>
      <c r="Z14" s="140" cm="1">
        <f t="array" ref="Z14">SUMPRODUCT(ISNUMBER( SEARCH('13 Space Heating Costs'!$C$7:$AW$7,'12 Space Heating Subcomponents'!M32)) *'13 Space Heating Costs'!$C$13:$AW$13)</f>
        <v>2485.5698109177652</v>
      </c>
      <c r="AA14" s="140" cm="1">
        <f t="array" ref="AA14">SUMPRODUCT(ISNUMBER( SEARCH('13 Space Heating Costs'!$C$7:$AW$7,'12 Space Heating Subcomponents'!N32)) *'13 Space Heating Costs'!$C$13:$AW$13)</f>
        <v>6050.0347519509614</v>
      </c>
      <c r="AB14" s="140" cm="1">
        <f t="array" ref="AB14">SUMPRODUCT(ISNUMBER( SEARCH('13 Space Heating Costs'!$C$7:$AW$7,'12 Space Heating Subcomponents'!O32)) *'13 Space Heating Costs'!$C$13:$AW$13)</f>
        <v>2485.5698109177652</v>
      </c>
      <c r="AC14" s="140" cm="1">
        <f t="array" ref="AC14">SUMPRODUCT(ISNUMBER( SEARCH('13 Space Heating Costs'!$C$7:$AW$7,'12 Space Heating Subcomponents'!P32)) *'13 Space Heating Costs'!$C$13:$AW$13)</f>
        <v>3073.771438119295</v>
      </c>
      <c r="AD14" s="402" cm="1">
        <f t="array" ref="AD14">SUMPRODUCT(ISNUMBER( SEARCH('13 Space Heating Costs'!$C$7:$AW$7,'12 Space Heating Subcomponents'!Q32)) *'13 Space Heating Costs'!$C$13:$AW$13)</f>
        <v>7379.8337274460609</v>
      </c>
      <c r="AE14" s="72"/>
      <c r="AF14" s="1105"/>
      <c r="AG14" s="182" t="s">
        <v>246</v>
      </c>
      <c r="AH14" s="182" t="s">
        <v>243</v>
      </c>
      <c r="AI14" s="140" cm="1">
        <f t="array" ref="AI14">SUMPRODUCT(ISNUMBER( SEARCH('13 Space Heating Costs'!$C$7:$AW$7,'12 Space Heating Subcomponents'!G48)) *'13 Space Heating Costs'!$C$13:$AW$13)</f>
        <v>2083.2057992668633</v>
      </c>
      <c r="AJ14" s="140" cm="1">
        <f t="array" ref="AJ14">SUMPRODUCT(ISNUMBER( SEARCH('13 Space Heating Costs'!$C$7:$AW$7,'12 Space Heating Subcomponents'!H48)) *'13 Space Heating Costs'!$C$13:$AW$13)</f>
        <v>3431.807211198487</v>
      </c>
      <c r="AK14" s="140" cm="1">
        <f t="array" ref="AK14">SUMPRODUCT(ISNUMBER( SEARCH('13 Space Heating Costs'!$C$7:$AW$7,'12 Space Heating Subcomponents'!I48)) *'13 Space Heating Costs'!$C$13:$AW$13)</f>
        <v>5512.3417427373888</v>
      </c>
      <c r="AL14" s="140" cm="1">
        <f t="array" ref="AL14">SUMPRODUCT(ISNUMBER( SEARCH('13 Space Heating Costs'!$C$7:$AW$7,'12 Space Heating Subcomponents'!J48)) *'13 Space Heating Costs'!$C$13:$AW$13)</f>
        <v>6867.762883680045</v>
      </c>
      <c r="AM14" s="139"/>
      <c r="AN14" s="140" cm="1">
        <f t="array" ref="AN14">SUMPRODUCT(ISNUMBER( SEARCH('13 Space Heating Costs'!$C$7:$AW$7,'12 Space Heating Subcomponents'!L48)) *'13 Space Heating Costs'!$C$13:$AW$13)</f>
        <v>5307.7498724064217</v>
      </c>
      <c r="AO14" s="140" cm="1">
        <f t="array" ref="AO14">SUMPRODUCT(ISNUMBER( SEARCH('13 Space Heating Costs'!$C$7:$AW$7,'12 Space Heating Subcomponents'!M48)) *'13 Space Heating Costs'!$C$13:$AW$13)</f>
        <v>2485.5698109177652</v>
      </c>
      <c r="AP14" s="140" cm="1">
        <f t="array" ref="AP14">SUMPRODUCT(ISNUMBER( SEARCH('13 Space Heating Costs'!$C$7:$AW$7,'12 Space Heating Subcomponents'!N48)) *'13 Space Heating Costs'!$C$13:$AW$13)</f>
        <v>6050.0347519509614</v>
      </c>
      <c r="AQ14" s="140" cm="1">
        <f t="array" ref="AQ14">SUMPRODUCT(ISNUMBER( SEARCH('13 Space Heating Costs'!$C$7:$AW$7,'12 Space Heating Subcomponents'!O48)) *'13 Space Heating Costs'!$C$13:$AW$13)</f>
        <v>2485.5698109177652</v>
      </c>
      <c r="AR14" s="140" cm="1">
        <f t="array" ref="AR14">SUMPRODUCT(ISNUMBER( SEARCH('13 Space Heating Costs'!$C$7:$AW$7,'12 Space Heating Subcomponents'!P48)) *'13 Space Heating Costs'!$C$13:$AW$13)</f>
        <v>3073.771438119295</v>
      </c>
      <c r="AS14" s="402" cm="1">
        <f t="array" ref="AS14">SUMPRODUCT(ISNUMBER( SEARCH('13 Space Heating Costs'!$C$7:$AW$7,'12 Space Heating Subcomponents'!Q48)) *'13 Space Heating Costs'!$C$13:$AW$13)</f>
        <v>7379.8337274460609</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Costs'!$C$13:$AW$13)</f>
        <v>2504.0188392475061</v>
      </c>
      <c r="F15" s="140" cm="1">
        <f t="array" ref="F15">SUMPRODUCT(ISNUMBER( SEARCH('13 Space Heating Costs'!$C$7:$AW$7,'12 Space Heating Subcomponents'!H17)) *'13 Space Heating Costs'!$C$13:$AW$13)</f>
        <v>3852.6202511791294</v>
      </c>
      <c r="G15" s="140" cm="1">
        <f t="array" ref="G15">SUMPRODUCT(ISNUMBER( SEARCH('13 Space Heating Costs'!$C$7:$AW$7,'12 Space Heating Subcomponents'!I17)) *'13 Space Heating Costs'!$C$13:$AW$13)</f>
        <v>1551.3860702558313</v>
      </c>
      <c r="H15" s="140" cm="1">
        <f t="array" ref="H15">SUMPRODUCT(ISNUMBER( SEARCH('13 Space Heating Costs'!$C$7:$AW$7,'12 Space Heating Subcomponents'!J17)) *'13 Space Heating Costs'!$C$13:$AW$13)</f>
        <v>2906.807211198487</v>
      </c>
      <c r="I15" s="140" cm="1">
        <f t="array" ref="I15">SUMPRODUCT(ISNUMBER( SEARCH('13 Space Heating Costs'!$C$7:$AW$7,'12 Space Heating Subcomponents'!K17)) *'13 Space Heating Costs'!$C$13:$AW$13)</f>
        <v>2343.7552074882487</v>
      </c>
      <c r="J15" s="139"/>
      <c r="K15" s="140" cm="1">
        <f t="array" ref="K15">SUMPRODUCT(ISNUMBER( SEARCH('13 Space Heating Costs'!$C$7:$AW$7,'12 Space Heating Subcomponents'!M17)) *'13 Space Heating Costs'!$C$13:$AW$13)</f>
        <v>2906.3828508984075</v>
      </c>
      <c r="L15" s="140" cm="1">
        <f t="array" ref="L15">SUMPRODUCT(ISNUMBER( SEARCH('13 Space Heating Costs'!$C$7:$AW$7,'12 Space Heating Subcomponents'!N17)) *'13 Space Heating Costs'!$C$13:$AW$13)</f>
        <v>2089.079079469404</v>
      </c>
      <c r="M15" s="140" cm="1">
        <f t="array" ref="M15">SUMPRODUCT(ISNUMBER( SEARCH('13 Space Heating Costs'!$C$7:$AW$7,'12 Space Heating Subcomponents'!O17)) *'13 Space Heating Costs'!$C$13:$AW$13)</f>
        <v>2906.3828508984075</v>
      </c>
      <c r="N15" s="140" cm="1">
        <f t="array" ref="N15">SUMPRODUCT(ISNUMBER( SEARCH('13 Space Heating Costs'!$C$7:$AW$7,'12 Space Heating Subcomponents'!P17)) *'13 Space Heating Costs'!$C$13:$AW$13)</f>
        <v>3494.5844780999373</v>
      </c>
      <c r="O15" s="402" cm="1">
        <f t="array" ref="O15">SUMPRODUCT(ISNUMBER( SEARCH('13 Space Heating Costs'!$C$7:$AW$7,'12 Space Heating Subcomponents'!Q17)) *'13 Space Heating Costs'!$C$13:$AW$13)</f>
        <v>4262.2283521411428</v>
      </c>
      <c r="P15" s="72"/>
      <c r="Q15" s="1105"/>
      <c r="R15" s="182" t="s">
        <v>246</v>
      </c>
      <c r="S15" s="182" t="s">
        <v>247</v>
      </c>
      <c r="T15" s="140" cm="1">
        <f t="array" ref="T15">SUMPRODUCT(ISNUMBER( SEARCH('13 Space Heating Costs'!$C$7:$AW$7,'12 Space Heating Subcomponents'!G33)) *'13 Space Heating Costs'!$C$13:$AW$13)</f>
        <v>2504.0188392475061</v>
      </c>
      <c r="U15" s="140" cm="1">
        <f t="array" ref="U15">SUMPRODUCT(ISNUMBER( SEARCH('13 Space Heating Costs'!$C$7:$AW$7,'12 Space Heating Subcomponents'!H33)) *'13 Space Heating Costs'!$C$13:$AW$13)</f>
        <v>3852.6202511791294</v>
      </c>
      <c r="V15" s="140" cm="1">
        <f t="array" ref="V15">SUMPRODUCT(ISNUMBER( SEARCH('13 Space Heating Costs'!$C$7:$AW$7,'12 Space Heating Subcomponents'!I33)) *'13 Space Heating Costs'!$C$13:$AW$13)</f>
        <v>1551.3860702558313</v>
      </c>
      <c r="W15" s="140" cm="1">
        <f t="array" ref="W15">SUMPRODUCT(ISNUMBER( SEARCH('13 Space Heating Costs'!$C$7:$AW$7,'12 Space Heating Subcomponents'!J33)) *'13 Space Heating Costs'!$C$13:$AW$13)</f>
        <v>2906.807211198487</v>
      </c>
      <c r="X15" s="140" cm="1">
        <f t="array" ref="X15">SUMPRODUCT(ISNUMBER( SEARCH('13 Space Heating Costs'!$C$7:$AW$7,'12 Space Heating Subcomponents'!K33)) *'13 Space Heating Costs'!$C$13:$AW$13)</f>
        <v>2343.7552074882487</v>
      </c>
      <c r="Y15" s="139"/>
      <c r="Z15" s="140" cm="1">
        <f t="array" ref="Z15">SUMPRODUCT(ISNUMBER( SEARCH('13 Space Heating Costs'!$C$7:$AW$7,'12 Space Heating Subcomponents'!M33)) *'13 Space Heating Costs'!$C$13:$AW$13)</f>
        <v>2906.3828508984075</v>
      </c>
      <c r="AA15" s="140" cm="1">
        <f t="array" ref="AA15">SUMPRODUCT(ISNUMBER( SEARCH('13 Space Heating Costs'!$C$7:$AW$7,'12 Space Heating Subcomponents'!N33)) *'13 Space Heating Costs'!$C$13:$AW$13)</f>
        <v>2089.079079469404</v>
      </c>
      <c r="AB15" s="140" cm="1">
        <f t="array" ref="AB15">SUMPRODUCT(ISNUMBER( SEARCH('13 Space Heating Costs'!$C$7:$AW$7,'12 Space Heating Subcomponents'!O33)) *'13 Space Heating Costs'!$C$13:$AW$13)</f>
        <v>2906.3828508984075</v>
      </c>
      <c r="AC15" s="140" cm="1">
        <f t="array" ref="AC15">SUMPRODUCT(ISNUMBER( SEARCH('13 Space Heating Costs'!$C$7:$AW$7,'12 Space Heating Subcomponents'!P33)) *'13 Space Heating Costs'!$C$13:$AW$13)</f>
        <v>3494.5844780999373</v>
      </c>
      <c r="AD15" s="402" cm="1">
        <f t="array" ref="AD15">SUMPRODUCT(ISNUMBER( SEARCH('13 Space Heating Costs'!$C$7:$AW$7,'12 Space Heating Subcomponents'!Q33)) *'13 Space Heating Costs'!$C$13:$AW$13)</f>
        <v>4262.2283521411428</v>
      </c>
      <c r="AE15" s="72"/>
      <c r="AF15" s="1105"/>
      <c r="AG15" s="182" t="s">
        <v>246</v>
      </c>
      <c r="AH15" s="182" t="s">
        <v>247</v>
      </c>
      <c r="AI15" s="140" cm="1">
        <f t="array" ref="AI15">SUMPRODUCT(ISNUMBER( SEARCH('13 Space Heating Costs'!$C$7:$AW$7,'12 Space Heating Subcomponents'!G49)) *'13 Space Heating Costs'!$C$13:$AW$13)</f>
        <v>2504.0188392475061</v>
      </c>
      <c r="AJ15" s="140" cm="1">
        <f t="array" ref="AJ15">SUMPRODUCT(ISNUMBER( SEARCH('13 Space Heating Costs'!$C$7:$AW$7,'12 Space Heating Subcomponents'!H49)) *'13 Space Heating Costs'!$C$13:$AW$13)</f>
        <v>3852.6202511791294</v>
      </c>
      <c r="AK15" s="140" cm="1">
        <f t="array" ref="AK15">SUMPRODUCT(ISNUMBER( SEARCH('13 Space Heating Costs'!$C$7:$AW$7,'12 Space Heating Subcomponents'!I49)) *'13 Space Heating Costs'!$C$13:$AW$13)</f>
        <v>1551.3860702558313</v>
      </c>
      <c r="AL15" s="140" cm="1">
        <f t="array" ref="AL15">SUMPRODUCT(ISNUMBER( SEARCH('13 Space Heating Costs'!$C$7:$AW$7,'12 Space Heating Subcomponents'!J49)) *'13 Space Heating Costs'!$C$13:$AW$13)</f>
        <v>2906.807211198487</v>
      </c>
      <c r="AM15" s="140" cm="1">
        <f t="array" ref="AM15">SUMPRODUCT(ISNUMBER( SEARCH('13 Space Heating Costs'!$C$7:$AW$7,'12 Space Heating Subcomponents'!K49)) *'13 Space Heating Costs'!$C$13:$AW$13)</f>
        <v>2343.7552074882487</v>
      </c>
      <c r="AN15" s="139"/>
      <c r="AO15" s="140" cm="1">
        <f t="array" ref="AO15">SUMPRODUCT(ISNUMBER( SEARCH('13 Space Heating Costs'!$C$7:$AW$7,'12 Space Heating Subcomponents'!M49)) *'13 Space Heating Costs'!$C$13:$AW$13)</f>
        <v>2906.3828508984075</v>
      </c>
      <c r="AP15" s="140" cm="1">
        <f t="array" ref="AP15">SUMPRODUCT(ISNUMBER( SEARCH('13 Space Heating Costs'!$C$7:$AW$7,'12 Space Heating Subcomponents'!N49)) *'13 Space Heating Costs'!$C$13:$AW$13)</f>
        <v>2089.079079469404</v>
      </c>
      <c r="AQ15" s="140" cm="1">
        <f t="array" ref="AQ15">SUMPRODUCT(ISNUMBER( SEARCH('13 Space Heating Costs'!$C$7:$AW$7,'12 Space Heating Subcomponents'!O49)) *'13 Space Heating Costs'!$C$13:$AW$13)</f>
        <v>2906.3828508984075</v>
      </c>
      <c r="AR15" s="140" cm="1">
        <f t="array" ref="AR15">SUMPRODUCT(ISNUMBER( SEARCH('13 Space Heating Costs'!$C$7:$AW$7,'12 Space Heating Subcomponents'!P49)) *'13 Space Heating Costs'!$C$13:$AW$13)</f>
        <v>3494.5844780999373</v>
      </c>
      <c r="AS15" s="402" cm="1">
        <f t="array" ref="AS15">SUMPRODUCT(ISNUMBER( SEARCH('13 Space Heating Costs'!$C$7:$AW$7,'12 Space Heating Subcomponents'!Q49)) *'13 Space Heating Costs'!$C$13:$AW$13)</f>
        <v>4262.2283521411428</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Costs'!$C$13:$AW$13)</f>
        <v>1383.2057992668636</v>
      </c>
      <c r="F16" s="140" cm="1">
        <f t="array" ref="F16">SUMPRODUCT(ISNUMBER( SEARCH('13 Space Heating Costs'!$C$7:$AW$7,'12 Space Heating Subcomponents'!H18)) *'13 Space Heating Costs'!$C$13:$AW$13)</f>
        <v>2731.807211198487</v>
      </c>
      <c r="G16" s="140" cm="1">
        <f t="array" ref="G16">SUMPRODUCT(ISNUMBER( SEARCH('13 Space Heating Costs'!$C$7:$AW$7,'12 Space Heating Subcomponents'!I18)) *'13 Space Heating Costs'!$C$13:$AW$13)</f>
        <v>4812.3417427373888</v>
      </c>
      <c r="H16" s="140" cm="1">
        <f t="array" ref="H16">SUMPRODUCT(ISNUMBER( SEARCH('13 Space Heating Costs'!$C$7:$AW$7,'12 Space Heating Subcomponents'!J18)) *'13 Space Heating Costs'!$C$13:$AW$13)</f>
        <v>6167.762883680045</v>
      </c>
      <c r="I16" s="140" cm="1">
        <f t="array" ref="I16">SUMPRODUCT(ISNUMBER( SEARCH('13 Space Heating Costs'!$C$7:$AW$7,'12 Space Heating Subcomponents'!K18)) *'13 Space Heating Costs'!$C$13:$AW$13)</f>
        <v>1222.942167507606</v>
      </c>
      <c r="J16" s="140" cm="1">
        <f t="array" ref="J16">SUMPRODUCT(ISNUMBER( SEARCH('13 Space Heating Costs'!$C$7:$AW$7,'12 Space Heating Subcomponents'!L18)) *'13 Space Heating Costs'!$C$13:$AW$13)</f>
        <v>4607.7498724064217</v>
      </c>
      <c r="K16" s="139"/>
      <c r="L16" s="140" cm="1">
        <f t="array" ref="L16">SUMPRODUCT(ISNUMBER( SEARCH('13 Space Heating Costs'!$C$7:$AW$7,'12 Space Heating Subcomponents'!N18)) *'13 Space Heating Costs'!$C$13:$AW$13)</f>
        <v>4506.6844547743221</v>
      </c>
      <c r="M16" s="140" cm="1">
        <f t="array" ref="M16">SUMPRODUCT(ISNUMBER( SEARCH('13 Space Heating Costs'!$C$7:$AW$7,'12 Space Heating Subcomponents'!O18)) *'13 Space Heating Costs'!$C$13:$AW$13)</f>
        <v>942.21951374112587</v>
      </c>
      <c r="N16" s="140" cm="1">
        <f t="array" ref="N16">SUMPRODUCT(ISNUMBER( SEARCH('13 Space Heating Costs'!$C$7:$AW$7,'12 Space Heating Subcomponents'!P18)) *'13 Space Heating Costs'!$C$13:$AW$13)</f>
        <v>2373.771438119295</v>
      </c>
      <c r="O16" s="402" cm="1">
        <f t="array" ref="O16">SUMPRODUCT(ISNUMBER( SEARCH('13 Space Heating Costs'!$C$7:$AW$7,'12 Space Heating Subcomponents'!Q18)) *'13 Space Heating Costs'!$C$13:$AW$13)</f>
        <v>6679.8337274460609</v>
      </c>
      <c r="P16" s="72"/>
      <c r="Q16" s="1105"/>
      <c r="R16" s="182" t="s">
        <v>246</v>
      </c>
      <c r="S16" s="182" t="s">
        <v>248</v>
      </c>
      <c r="T16" s="140" cm="1">
        <f t="array" ref="T16">SUMPRODUCT(ISNUMBER( SEARCH('13 Space Heating Costs'!$C$7:$AW$7,'12 Space Heating Subcomponents'!G34)) *'13 Space Heating Costs'!$C$13:$AW$13)</f>
        <v>1383.2057992668636</v>
      </c>
      <c r="U16" s="140" cm="1">
        <f t="array" ref="U16">SUMPRODUCT(ISNUMBER( SEARCH('13 Space Heating Costs'!$C$7:$AW$7,'12 Space Heating Subcomponents'!H34)) *'13 Space Heating Costs'!$C$13:$AW$13)</f>
        <v>2731.807211198487</v>
      </c>
      <c r="V16" s="140" cm="1">
        <f t="array" ref="V16">SUMPRODUCT(ISNUMBER( SEARCH('13 Space Heating Costs'!$C$7:$AW$7,'12 Space Heating Subcomponents'!I34)) *'13 Space Heating Costs'!$C$13:$AW$13)</f>
        <v>4812.3417427373888</v>
      </c>
      <c r="W16" s="140" cm="1">
        <f t="array" ref="W16">SUMPRODUCT(ISNUMBER( SEARCH('13 Space Heating Costs'!$C$7:$AW$7,'12 Space Heating Subcomponents'!J34)) *'13 Space Heating Costs'!$C$13:$AW$13)</f>
        <v>6167.762883680045</v>
      </c>
      <c r="X16" s="140" cm="1">
        <f t="array" ref="X16">SUMPRODUCT(ISNUMBER( SEARCH('13 Space Heating Costs'!$C$7:$AW$7,'12 Space Heating Subcomponents'!K34)) *'13 Space Heating Costs'!$C$13:$AW$13)</f>
        <v>1222.942167507606</v>
      </c>
      <c r="Y16" s="140" cm="1">
        <f t="array" ref="Y16">SUMPRODUCT(ISNUMBER( SEARCH('13 Space Heating Costs'!$C$7:$AW$7,'12 Space Heating Subcomponents'!L34)) *'13 Space Heating Costs'!$C$13:$AW$13)</f>
        <v>4607.7498724064217</v>
      </c>
      <c r="Z16" s="139"/>
      <c r="AA16" s="140" cm="1">
        <f t="array" ref="AA16">SUMPRODUCT(ISNUMBER( SEARCH('13 Space Heating Costs'!$C$7:$AW$7,'12 Space Heating Subcomponents'!N34)) *'13 Space Heating Costs'!$C$13:$AW$13)</f>
        <v>4506.6844547743221</v>
      </c>
      <c r="AB16" s="140" cm="1">
        <f t="array" ref="AB16">SUMPRODUCT(ISNUMBER( SEARCH('13 Space Heating Costs'!$C$7:$AW$7,'12 Space Heating Subcomponents'!O34)) *'13 Space Heating Costs'!$C$13:$AW$13)</f>
        <v>942.21951374112587</v>
      </c>
      <c r="AC16" s="140" cm="1">
        <f t="array" ref="AC16">SUMPRODUCT(ISNUMBER( SEARCH('13 Space Heating Costs'!$C$7:$AW$7,'12 Space Heating Subcomponents'!P34)) *'13 Space Heating Costs'!$C$13:$AW$13)</f>
        <v>2373.771438119295</v>
      </c>
      <c r="AD16" s="402" cm="1">
        <f t="array" ref="AD16">SUMPRODUCT(ISNUMBER( SEARCH('13 Space Heating Costs'!$C$7:$AW$7,'12 Space Heating Subcomponents'!Q34)) *'13 Space Heating Costs'!$C$13:$AW$13)</f>
        <v>6679.8337274460609</v>
      </c>
      <c r="AE16" s="72"/>
      <c r="AF16" s="1105"/>
      <c r="AG16" s="182" t="s">
        <v>246</v>
      </c>
      <c r="AH16" s="182" t="s">
        <v>248</v>
      </c>
      <c r="AI16" s="140" cm="1">
        <f t="array" ref="AI16">SUMPRODUCT(ISNUMBER( SEARCH('13 Space Heating Costs'!$C$7:$AW$7,'12 Space Heating Subcomponents'!G50)) *'13 Space Heating Costs'!$C$13:$AW$13)</f>
        <v>1383.2057992668636</v>
      </c>
      <c r="AJ16" s="140" cm="1">
        <f t="array" ref="AJ16">SUMPRODUCT(ISNUMBER( SEARCH('13 Space Heating Costs'!$C$7:$AW$7,'12 Space Heating Subcomponents'!H50)) *'13 Space Heating Costs'!$C$13:$AW$13)</f>
        <v>2731.807211198487</v>
      </c>
      <c r="AK16" s="140" cm="1">
        <f t="array" ref="AK16">SUMPRODUCT(ISNUMBER( SEARCH('13 Space Heating Costs'!$C$7:$AW$7,'12 Space Heating Subcomponents'!I50)) *'13 Space Heating Costs'!$C$13:$AW$13)</f>
        <v>4812.3417427373888</v>
      </c>
      <c r="AL16" s="140" cm="1">
        <f t="array" ref="AL16">SUMPRODUCT(ISNUMBER( SEARCH('13 Space Heating Costs'!$C$7:$AW$7,'12 Space Heating Subcomponents'!J50)) *'13 Space Heating Costs'!$C$13:$AW$13)</f>
        <v>6167.762883680045</v>
      </c>
      <c r="AM16" s="140" cm="1">
        <f t="array" ref="AM16">SUMPRODUCT(ISNUMBER( SEARCH('13 Space Heating Costs'!$C$7:$AW$7,'12 Space Heating Subcomponents'!K50)) *'13 Space Heating Costs'!$C$13:$AW$13)</f>
        <v>1222.942167507606</v>
      </c>
      <c r="AN16" s="140" cm="1">
        <f t="array" ref="AN16">SUMPRODUCT(ISNUMBER( SEARCH('13 Space Heating Costs'!$C$7:$AW$7,'12 Space Heating Subcomponents'!L50)) *'13 Space Heating Costs'!$C$13:$AW$13)</f>
        <v>4607.7498724064217</v>
      </c>
      <c r="AO16" s="139"/>
      <c r="AP16" s="140" cm="1">
        <f t="array" ref="AP16">SUMPRODUCT(ISNUMBER( SEARCH('13 Space Heating Costs'!$C$7:$AW$7,'12 Space Heating Subcomponents'!N50)) *'13 Space Heating Costs'!$C$13:$AW$13)</f>
        <v>4506.6844547743221</v>
      </c>
      <c r="AQ16" s="140" cm="1">
        <f t="array" ref="AQ16">SUMPRODUCT(ISNUMBER( SEARCH('13 Space Heating Costs'!$C$7:$AW$7,'12 Space Heating Subcomponents'!O50)) *'13 Space Heating Costs'!$C$13:$AW$13)</f>
        <v>942.21951374112587</v>
      </c>
      <c r="AR16" s="140" cm="1">
        <f t="array" ref="AR16">SUMPRODUCT(ISNUMBER( SEARCH('13 Space Heating Costs'!$C$7:$AW$7,'12 Space Heating Subcomponents'!P50)) *'13 Space Heating Costs'!$C$13:$AW$13)</f>
        <v>2373.771438119295</v>
      </c>
      <c r="AS16" s="402" cm="1">
        <f t="array" ref="AS16">SUMPRODUCT(ISNUMBER( SEARCH('13 Space Heating Costs'!$C$7:$AW$7,'12 Space Heating Subcomponents'!Q50)) *'13 Space Heating Costs'!$C$13:$AW$13)</f>
        <v>6679.8337274460609</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Costs'!$C$13:$AW$13)</f>
        <v>4347.1623197286017</v>
      </c>
      <c r="F17" s="140" cm="1">
        <f t="array" ref="F17">SUMPRODUCT(ISNUMBER( SEARCH('13 Space Heating Costs'!$C$7:$AW$7,'12 Space Heating Subcomponents'!H19)) *'13 Space Heating Costs'!$C$13:$AW$13)</f>
        <v>5695.7637316602249</v>
      </c>
      <c r="G17" s="140" cm="1">
        <f t="array" ref="G17">SUMPRODUCT(ISNUMBER( SEARCH('13 Space Heating Costs'!$C$7:$AW$7,'12 Space Heating Subcomponents'!I19)) *'13 Space Heating Costs'!$C$13:$AW$13)</f>
        <v>3394.5295507369265</v>
      </c>
      <c r="H17" s="140" cm="1">
        <f t="array" ref="H17">SUMPRODUCT(ISNUMBER( SEARCH('13 Space Heating Costs'!$C$7:$AW$7,'12 Space Heating Subcomponents'!J19)) *'13 Space Heating Costs'!$C$13:$AW$13)</f>
        <v>4749.9506916795817</v>
      </c>
      <c r="I17" s="140" cm="1">
        <f t="array" ref="I17">SUMPRODUCT(ISNUMBER( SEARCH('13 Space Heating Costs'!$C$7:$AW$7,'12 Space Heating Subcomponents'!K19)) *'13 Space Heating Costs'!$C$13:$AW$13)</f>
        <v>4186.8986879693439</v>
      </c>
      <c r="J17" s="140" cm="1">
        <f t="array" ref="J17">SUMPRODUCT(ISNUMBER( SEARCH('13 Space Heating Costs'!$C$7:$AW$7,'12 Space Heating Subcomponents'!L19)) *'13 Space Heating Costs'!$C$13:$AW$13)</f>
        <v>4135.7507203866026</v>
      </c>
      <c r="K17" s="140" cm="1">
        <f t="array" ref="K17">SUMPRODUCT(ISNUMBER( SEARCH('13 Space Heating Costs'!$C$7:$AW$7,'12 Space Heating Subcomponents'!M19)) *'13 Space Heating Costs'!$C$13:$AW$13)</f>
        <v>3906.1760342028638</v>
      </c>
      <c r="L17" s="139"/>
      <c r="M17" s="140" cm="1">
        <f t="array" ref="M17">SUMPRODUCT(ISNUMBER( SEARCH('13 Space Heating Costs'!$C$7:$AW$7,'12 Space Heating Subcomponents'!O19)) *'13 Space Heating Costs'!$C$13:$AW$13)</f>
        <v>3906.1760342028638</v>
      </c>
      <c r="N17" s="140" cm="1">
        <f t="array" ref="N17">SUMPRODUCT(ISNUMBER( SEARCH('13 Space Heating Costs'!$C$7:$AW$7,'12 Space Heating Subcomponents'!P19)) *'13 Space Heating Costs'!$C$13:$AW$13)</f>
        <v>5337.7279585810329</v>
      </c>
      <c r="O17" s="402" cm="1">
        <f t="array" ref="O17">SUMPRODUCT(ISNUMBER( SEARCH('13 Space Heating Costs'!$C$7:$AW$7,'12 Space Heating Subcomponents'!Q19)) *'13 Space Heating Costs'!$C$13:$AW$13)</f>
        <v>6105.3718326222379</v>
      </c>
      <c r="P17" s="72"/>
      <c r="Q17" s="1105"/>
      <c r="R17" s="182" t="s">
        <v>246</v>
      </c>
      <c r="S17" s="182" t="s">
        <v>249</v>
      </c>
      <c r="T17" s="140" cm="1">
        <f t="array" ref="T17">SUMPRODUCT(ISNUMBER( SEARCH('13 Space Heating Costs'!$C$7:$AW$7,'12 Space Heating Subcomponents'!G35)) *'13 Space Heating Costs'!$C$13:$AW$13)</f>
        <v>4347.1623197286017</v>
      </c>
      <c r="U17" s="140" cm="1">
        <f t="array" ref="U17">SUMPRODUCT(ISNUMBER( SEARCH('13 Space Heating Costs'!$C$7:$AW$7,'12 Space Heating Subcomponents'!H35)) *'13 Space Heating Costs'!$C$13:$AW$13)</f>
        <v>5695.7637316602249</v>
      </c>
      <c r="V17" s="140" cm="1">
        <f t="array" ref="V17">SUMPRODUCT(ISNUMBER( SEARCH('13 Space Heating Costs'!$C$7:$AW$7,'12 Space Heating Subcomponents'!I35)) *'13 Space Heating Costs'!$C$13:$AW$13)</f>
        <v>3394.5295507369265</v>
      </c>
      <c r="W17" s="140" cm="1">
        <f t="array" ref="W17">SUMPRODUCT(ISNUMBER( SEARCH('13 Space Heating Costs'!$C$7:$AW$7,'12 Space Heating Subcomponents'!J35)) *'13 Space Heating Costs'!$C$13:$AW$13)</f>
        <v>4749.9506916795817</v>
      </c>
      <c r="X17" s="140" cm="1">
        <f t="array" ref="X17">SUMPRODUCT(ISNUMBER( SEARCH('13 Space Heating Costs'!$C$7:$AW$7,'12 Space Heating Subcomponents'!K35)) *'13 Space Heating Costs'!$C$13:$AW$13)</f>
        <v>4186.8986879693439</v>
      </c>
      <c r="Y17" s="140" cm="1">
        <f t="array" ref="Y17">SUMPRODUCT(ISNUMBER( SEARCH('13 Space Heating Costs'!$C$7:$AW$7,'12 Space Heating Subcomponents'!L35)) *'13 Space Heating Costs'!$C$13:$AW$13)</f>
        <v>4135.7507203866026</v>
      </c>
      <c r="Z17" s="140" cm="1">
        <f t="array" ref="Z17">SUMPRODUCT(ISNUMBER( SEARCH('13 Space Heating Costs'!$C$7:$AW$7,'12 Space Heating Subcomponents'!M35)) *'13 Space Heating Costs'!$C$13:$AW$13)</f>
        <v>3906.1760342028638</v>
      </c>
      <c r="AA17" s="139"/>
      <c r="AB17" s="140" cm="1">
        <f t="array" ref="AB17">SUMPRODUCT(ISNUMBER( SEARCH('13 Space Heating Costs'!$C$7:$AW$7,'12 Space Heating Subcomponents'!O35)) *'13 Space Heating Costs'!$C$13:$AW$13)</f>
        <v>3906.1760342028638</v>
      </c>
      <c r="AC17" s="140" cm="1">
        <f t="array" ref="AC17">SUMPRODUCT(ISNUMBER( SEARCH('13 Space Heating Costs'!$C$7:$AW$7,'12 Space Heating Subcomponents'!P35)) *'13 Space Heating Costs'!$C$13:$AW$13)</f>
        <v>5337.7279585810329</v>
      </c>
      <c r="AD17" s="402" cm="1">
        <f t="array" ref="AD17">SUMPRODUCT(ISNUMBER( SEARCH('13 Space Heating Costs'!$C$7:$AW$7,'12 Space Heating Subcomponents'!Q35)) *'13 Space Heating Costs'!$C$13:$AW$13)</f>
        <v>6105.3718326222379</v>
      </c>
      <c r="AE17" s="72"/>
      <c r="AF17" s="1105"/>
      <c r="AG17" s="182" t="s">
        <v>246</v>
      </c>
      <c r="AH17" s="182" t="s">
        <v>249</v>
      </c>
      <c r="AI17" s="140" cm="1">
        <f t="array" ref="AI17">SUMPRODUCT(ISNUMBER( SEARCH('13 Space Heating Costs'!$C$7:$AW$7,'12 Space Heating Subcomponents'!G51)) *'13 Space Heating Costs'!$C$13:$AW$13)</f>
        <v>4347.1623197286017</v>
      </c>
      <c r="AJ17" s="140" cm="1">
        <f t="array" ref="AJ17">SUMPRODUCT(ISNUMBER( SEARCH('13 Space Heating Costs'!$C$7:$AW$7,'12 Space Heating Subcomponents'!H51)) *'13 Space Heating Costs'!$C$13:$AW$13)</f>
        <v>5695.7637316602249</v>
      </c>
      <c r="AK17" s="140" cm="1">
        <f t="array" ref="AK17">SUMPRODUCT(ISNUMBER( SEARCH('13 Space Heating Costs'!$C$7:$AW$7,'12 Space Heating Subcomponents'!I51)) *'13 Space Heating Costs'!$C$13:$AW$13)</f>
        <v>3394.5295507369265</v>
      </c>
      <c r="AL17" s="140" cm="1">
        <f t="array" ref="AL17">SUMPRODUCT(ISNUMBER( SEARCH('13 Space Heating Costs'!$C$7:$AW$7,'12 Space Heating Subcomponents'!J51)) *'13 Space Heating Costs'!$C$13:$AW$13)</f>
        <v>4749.9506916795817</v>
      </c>
      <c r="AM17" s="140" cm="1">
        <f t="array" ref="AM17">SUMPRODUCT(ISNUMBER( SEARCH('13 Space Heating Costs'!$C$7:$AW$7,'12 Space Heating Subcomponents'!K51)) *'13 Space Heating Costs'!$C$13:$AW$13)</f>
        <v>4186.8986879693439</v>
      </c>
      <c r="AN17" s="140" cm="1">
        <f t="array" ref="AN17">SUMPRODUCT(ISNUMBER( SEARCH('13 Space Heating Costs'!$C$7:$AW$7,'12 Space Heating Subcomponents'!L51)) *'13 Space Heating Costs'!$C$13:$AW$13)</f>
        <v>4135.7507203866026</v>
      </c>
      <c r="AO17" s="140" cm="1">
        <f t="array" ref="AO17">SUMPRODUCT(ISNUMBER( SEARCH('13 Space Heating Costs'!$C$7:$AW$7,'12 Space Heating Subcomponents'!M51)) *'13 Space Heating Costs'!$C$13:$AW$13)</f>
        <v>3906.1760342028638</v>
      </c>
      <c r="AP17" s="139"/>
      <c r="AQ17" s="140" cm="1">
        <f t="array" ref="AQ17">SUMPRODUCT(ISNUMBER( SEARCH('13 Space Heating Costs'!$C$7:$AW$7,'12 Space Heating Subcomponents'!O51)) *'13 Space Heating Costs'!$C$13:$AW$13)</f>
        <v>3906.1760342028638</v>
      </c>
      <c r="AR17" s="140" cm="1">
        <f t="array" ref="AR17">SUMPRODUCT(ISNUMBER( SEARCH('13 Space Heating Costs'!$C$7:$AW$7,'12 Space Heating Subcomponents'!P51)) *'13 Space Heating Costs'!$C$13:$AW$13)</f>
        <v>5337.7279585810329</v>
      </c>
      <c r="AS17" s="402" cm="1">
        <f t="array" ref="AS17">SUMPRODUCT(ISNUMBER( SEARCH('13 Space Heating Costs'!$C$7:$AW$7,'12 Space Heating Subcomponents'!Q51)) *'13 Space Heating Costs'!$C$13:$AW$13)</f>
        <v>6105.3718326222379</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Costs'!$C$13:$AW$13)</f>
        <v>17528.959341381094</v>
      </c>
      <c r="F18" s="140" cm="1">
        <f t="array" ref="F18">SUMPRODUCT(ISNUMBER( SEARCH('13 Space Heating Costs'!$C$7:$AW$7,'12 Space Heating Subcomponents'!H20)) *'13 Space Heating Costs'!$C$13:$AW$13)</f>
        <v>22313.516425794278</v>
      </c>
      <c r="G18" s="140" cm="1">
        <f t="array" ref="G18">SUMPRODUCT(ISNUMBER( SEARCH('13 Space Heating Costs'!$C$7:$AW$7,'12 Space Heating Subcomponents'!I20)) *'13 Space Heating Costs'!$C$13:$AW$13)</f>
        <v>17522.139612370062</v>
      </c>
      <c r="H18" s="140" cm="1">
        <f t="array" ref="H18">SUMPRODUCT(ISNUMBER( SEARCH('13 Space Heating Costs'!$C$7:$AW$7,'12 Space Heating Subcomponents'!J20)) *'13 Space Heating Costs'!$C$13:$AW$13)</f>
        <v>22313.516425794278</v>
      </c>
      <c r="I18" s="140" cm="1">
        <f t="array" ref="I18">SUMPRODUCT(ISNUMBER( SEARCH('13 Space Heating Costs'!$C$7:$AW$7,'12 Space Heating Subcomponents'!K20)) *'13 Space Heating Costs'!$C$13:$AW$13)</f>
        <v>17368.695709621836</v>
      </c>
      <c r="J18" s="140" cm="1">
        <f t="array" ref="J18">SUMPRODUCT(ISNUMBER( SEARCH('13 Space Heating Costs'!$C$7:$AW$7,'12 Space Heating Subcomponents'!L20)) *'13 Space Heating Costs'!$C$13:$AW$13)</f>
        <v>21450.361462520279</v>
      </c>
      <c r="K18" s="140" cm="1">
        <f t="array" ref="K18">SUMPRODUCT(ISNUMBER( SEARCH('13 Space Heating Costs'!$C$7:$AW$7,'12 Space Heating Subcomponents'!M20)) *'13 Space Heating Costs'!$C$13:$AW$13)</f>
        <v>17087.97305585536</v>
      </c>
      <c r="L18" s="140" cm="1">
        <f t="array" ref="L18">SUMPRODUCT(ISNUMBER( SEARCH('13 Space Heating Costs'!$C$7:$AW$7,'12 Space Heating Subcomponents'!N20)) *'13 Space Heating Costs'!$C$13:$AW$13)</f>
        <v>20652.437996888555</v>
      </c>
      <c r="M18" s="139"/>
      <c r="N18" s="140" cm="1">
        <f t="array" ref="N18">SUMPRODUCT(ISNUMBER( SEARCH('13 Space Heating Costs'!$C$7:$AW$7,'12 Space Heating Subcomponents'!P20)) *'13 Space Heating Costs'!$C$13:$AW$13)</f>
        <v>21955.480652715087</v>
      </c>
      <c r="O18" s="402" cm="1">
        <f t="array" ref="O18">SUMPRODUCT(ISNUMBER( SEARCH('13 Space Heating Costs'!$C$7:$AW$7,'12 Space Heating Subcomponents'!Q20)) *'13 Space Heating Costs'!$C$13:$AW$13)</f>
        <v>20086.489645078364</v>
      </c>
      <c r="P18" s="72"/>
      <c r="Q18" s="1105"/>
      <c r="R18" s="182" t="s">
        <v>246</v>
      </c>
      <c r="S18" s="182" t="s">
        <v>250</v>
      </c>
      <c r="T18" s="140" cm="1">
        <f t="array" ref="T18">SUMPRODUCT(ISNUMBER( SEARCH('13 Space Heating Costs'!$C$7:$AW$7,'12 Space Heating Subcomponents'!G36)) *'13 Space Heating Costs'!$C$13:$AW$13)</f>
        <v>17528.959341381094</v>
      </c>
      <c r="U18" s="140" cm="1">
        <f t="array" ref="U18">SUMPRODUCT(ISNUMBER( SEARCH('13 Space Heating Costs'!$C$7:$AW$7,'12 Space Heating Subcomponents'!H36)) *'13 Space Heating Costs'!$C$13:$AW$13)</f>
        <v>22313.516425794278</v>
      </c>
      <c r="V18" s="140" cm="1">
        <f t="array" ref="V18">SUMPRODUCT(ISNUMBER( SEARCH('13 Space Heating Costs'!$C$7:$AW$7,'12 Space Heating Subcomponents'!I36)) *'13 Space Heating Costs'!$C$13:$AW$13)</f>
        <v>17522.139612370062</v>
      </c>
      <c r="W18" s="140" cm="1">
        <f t="array" ref="W18">SUMPRODUCT(ISNUMBER( SEARCH('13 Space Heating Costs'!$C$7:$AW$7,'12 Space Heating Subcomponents'!J36)) *'13 Space Heating Costs'!$C$13:$AW$13)</f>
        <v>22313.516425794278</v>
      </c>
      <c r="X18" s="140" cm="1">
        <f t="array" ref="X18">SUMPRODUCT(ISNUMBER( SEARCH('13 Space Heating Costs'!$C$7:$AW$7,'12 Space Heating Subcomponents'!K36)) *'13 Space Heating Costs'!$C$13:$AW$13)</f>
        <v>17368.695709621836</v>
      </c>
      <c r="Y18" s="140" cm="1">
        <f t="array" ref="Y18">SUMPRODUCT(ISNUMBER( SEARCH('13 Space Heating Costs'!$C$7:$AW$7,'12 Space Heating Subcomponents'!L36)) *'13 Space Heating Costs'!$C$13:$AW$13)</f>
        <v>21450.361462520279</v>
      </c>
      <c r="Z18" s="140" cm="1">
        <f t="array" ref="Z18">SUMPRODUCT(ISNUMBER( SEARCH('13 Space Heating Costs'!$C$7:$AW$7,'12 Space Heating Subcomponents'!M36)) *'13 Space Heating Costs'!$C$13:$AW$13)</f>
        <v>17087.97305585536</v>
      </c>
      <c r="AA18" s="140" cm="1">
        <f t="array" ref="AA18">SUMPRODUCT(ISNUMBER( SEARCH('13 Space Heating Costs'!$C$7:$AW$7,'12 Space Heating Subcomponents'!N36)) *'13 Space Heating Costs'!$C$13:$AW$13)</f>
        <v>20652.437996888555</v>
      </c>
      <c r="AB18" s="139"/>
      <c r="AC18" s="140" cm="1">
        <f t="array" ref="AC18">SUMPRODUCT(ISNUMBER( SEARCH('13 Space Heating Costs'!$C$7:$AW$7,'12 Space Heating Subcomponents'!P36)) *'13 Space Heating Costs'!$C$13:$AW$13)</f>
        <v>21955.480652715087</v>
      </c>
      <c r="AD18" s="402" cm="1">
        <f t="array" ref="AD18">SUMPRODUCT(ISNUMBER( SEARCH('13 Space Heating Costs'!$C$7:$AW$7,'12 Space Heating Subcomponents'!Q36)) *'13 Space Heating Costs'!$C$13:$AW$13)</f>
        <v>20086.489645078364</v>
      </c>
      <c r="AE18" s="72"/>
      <c r="AF18" s="1105"/>
      <c r="AG18" s="182" t="s">
        <v>246</v>
      </c>
      <c r="AH18" s="182" t="s">
        <v>250</v>
      </c>
      <c r="AI18" s="140" cm="1">
        <f t="array" ref="AI18">SUMPRODUCT(ISNUMBER( SEARCH('13 Space Heating Costs'!$C$7:$AW$7,'12 Space Heating Subcomponents'!G52)) *'13 Space Heating Costs'!$C$13:$AW$13)</f>
        <v>17528.959341381094</v>
      </c>
      <c r="AJ18" s="140" cm="1">
        <f t="array" ref="AJ18">SUMPRODUCT(ISNUMBER( SEARCH('13 Space Heating Costs'!$C$7:$AW$7,'12 Space Heating Subcomponents'!H52)) *'13 Space Heating Costs'!$C$13:$AW$13)</f>
        <v>22313.516425794278</v>
      </c>
      <c r="AK18" s="140" cm="1">
        <f t="array" ref="AK18">SUMPRODUCT(ISNUMBER( SEARCH('13 Space Heating Costs'!$C$7:$AW$7,'12 Space Heating Subcomponents'!I52)) *'13 Space Heating Costs'!$C$13:$AW$13)</f>
        <v>17522.139612370062</v>
      </c>
      <c r="AL18" s="140" cm="1">
        <f t="array" ref="AL18">SUMPRODUCT(ISNUMBER( SEARCH('13 Space Heating Costs'!$C$7:$AW$7,'12 Space Heating Subcomponents'!J52)) *'13 Space Heating Costs'!$C$13:$AW$13)</f>
        <v>22313.516425794278</v>
      </c>
      <c r="AM18" s="140" cm="1">
        <f t="array" ref="AM18">SUMPRODUCT(ISNUMBER( SEARCH('13 Space Heating Costs'!$C$7:$AW$7,'12 Space Heating Subcomponents'!K52)) *'13 Space Heating Costs'!$C$13:$AW$13)</f>
        <v>17368.695709621836</v>
      </c>
      <c r="AN18" s="140" cm="1">
        <f t="array" ref="AN18">SUMPRODUCT(ISNUMBER( SEARCH('13 Space Heating Costs'!$C$7:$AW$7,'12 Space Heating Subcomponents'!L52)) *'13 Space Heating Costs'!$C$13:$AW$13)</f>
        <v>21450.361462520279</v>
      </c>
      <c r="AO18" s="140" cm="1">
        <f t="array" ref="AO18">SUMPRODUCT(ISNUMBER( SEARCH('13 Space Heating Costs'!$C$7:$AW$7,'12 Space Heating Subcomponents'!M52)) *'13 Space Heating Costs'!$C$13:$AW$13)</f>
        <v>17087.97305585536</v>
      </c>
      <c r="AP18" s="140" cm="1">
        <f t="array" ref="AP18">SUMPRODUCT(ISNUMBER( SEARCH('13 Space Heating Costs'!$C$7:$AW$7,'12 Space Heating Subcomponents'!N52)) *'13 Space Heating Costs'!$C$13:$AW$13)</f>
        <v>20652.437996888555</v>
      </c>
      <c r="AQ18" s="139"/>
      <c r="AR18" s="140" cm="1">
        <f t="array" ref="AR18">SUMPRODUCT(ISNUMBER( SEARCH('13 Space Heating Costs'!$C$7:$AW$7,'12 Space Heating Subcomponents'!P52)) *'13 Space Heating Costs'!$C$13:$AW$13)</f>
        <v>21955.480652715087</v>
      </c>
      <c r="AS18" s="402" cm="1">
        <f t="array" ref="AS18">SUMPRODUCT(ISNUMBER( SEARCH('13 Space Heating Costs'!$C$7:$AW$7,'12 Space Heating Subcomponents'!Q52)) *'13 Space Heating Costs'!$C$13:$AW$13)</f>
        <v>20086.489645078364</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Costs'!$C$13:$AW$13)</f>
        <v>2984.2350233259685</v>
      </c>
      <c r="F19" s="140" cm="1">
        <f t="array" ref="F19">SUMPRODUCT(ISNUMBER( SEARCH('13 Space Heating Costs'!$C$7:$AW$7,'12 Space Heating Subcomponents'!H21)) *'13 Space Heating Costs'!$C$13:$AW$13)</f>
        <v>4332.8364352575918</v>
      </c>
      <c r="G19" s="140" cm="1">
        <f t="array" ref="G19">SUMPRODUCT(ISNUMBER( SEARCH('13 Space Heating Costs'!$C$7:$AW$7,'12 Space Heating Subcomponents'!I21)) *'13 Space Heating Costs'!$C$13:$AW$13)</f>
        <v>6413.370966796494</v>
      </c>
      <c r="H19" s="140" cm="1">
        <f t="array" ref="H19">SUMPRODUCT(ISNUMBER( SEARCH('13 Space Heating Costs'!$C$7:$AW$7,'12 Space Heating Subcomponents'!J21)) *'13 Space Heating Costs'!$C$13:$AW$13)</f>
        <v>7768.7921077391493</v>
      </c>
      <c r="I19" s="140" cm="1">
        <f t="array" ref="I19">SUMPRODUCT(ISNUMBER( SEARCH('13 Space Heating Costs'!$C$7:$AW$7,'12 Space Heating Subcomponents'!K21)) *'13 Space Heating Costs'!$C$13:$AW$13)</f>
        <v>3520.8294395663361</v>
      </c>
      <c r="J19" s="140" cm="1">
        <f t="array" ref="J19">SUMPRODUCT(ISNUMBER( SEARCH('13 Space Heating Costs'!$C$7:$AW$7,'12 Space Heating Subcomponents'!L21)) *'13 Space Heating Costs'!$C$13:$AW$13)</f>
        <v>6905.6371444651513</v>
      </c>
      <c r="K19" s="140" cm="1">
        <f t="array" ref="K19">SUMPRODUCT(ISNUMBER( SEARCH('13 Space Heating Costs'!$C$7:$AW$7,'12 Space Heating Subcomponents'!M21)) *'13 Space Heating Costs'!$C$13:$AW$13)</f>
        <v>4083.4570829764943</v>
      </c>
      <c r="L19" s="140" cm="1">
        <f t="array" ref="L19">SUMPRODUCT(ISNUMBER( SEARCH('13 Space Heating Costs'!$C$7:$AW$7,'12 Space Heating Subcomponents'!N21)) *'13 Space Heating Costs'!$C$13:$AW$13)</f>
        <v>7647.9220240096911</v>
      </c>
      <c r="M19" s="140" cm="1">
        <f t="array" ref="M19">SUMPRODUCT(ISNUMBER( SEARCH('13 Space Heating Costs'!$C$7:$AW$7,'12 Space Heating Subcomponents'!O21)) *'13 Space Heating Costs'!$C$13:$AW$13)</f>
        <v>4083.4570829764943</v>
      </c>
      <c r="N19" s="139"/>
      <c r="O19" s="402" cm="1">
        <f t="array" ref="O19">SUMPRODUCT(ISNUMBER( SEARCH('13 Space Heating Costs'!$C$7:$AW$7,'12 Space Heating Subcomponents'!Q21)) *'13 Space Heating Costs'!$C$13:$AW$13)</f>
        <v>9821.0712966814299</v>
      </c>
      <c r="P19" s="72"/>
      <c r="Q19" s="1105"/>
      <c r="R19" s="182" t="s">
        <v>86</v>
      </c>
      <c r="S19" s="182" t="s">
        <v>243</v>
      </c>
      <c r="T19" s="140" cm="1">
        <f t="array" ref="T19">SUMPRODUCT(ISNUMBER( SEARCH('13 Space Heating Costs'!$C$7:$AW$7,'12 Space Heating Subcomponents'!G37)) *'13 Space Heating Costs'!$C$13:$AW$13)</f>
        <v>3583.8698192038646</v>
      </c>
      <c r="U19" s="140" cm="1">
        <f t="array" ref="U19">SUMPRODUCT(ISNUMBER( SEARCH('13 Space Heating Costs'!$C$7:$AW$7,'12 Space Heating Subcomponents'!H37)) *'13 Space Heating Costs'!$C$13:$AW$13)</f>
        <v>4932.4712311354888</v>
      </c>
      <c r="V19" s="140" cm="1">
        <f t="array" ref="V19">SUMPRODUCT(ISNUMBER( SEARCH('13 Space Heating Costs'!$C$7:$AW$7,'12 Space Heating Subcomponents'!I37)) *'13 Space Heating Costs'!$C$13:$AW$13)</f>
        <v>7013.0057626743901</v>
      </c>
      <c r="W19" s="140" cm="1">
        <f t="array" ref="W19">SUMPRODUCT(ISNUMBER( SEARCH('13 Space Heating Costs'!$C$7:$AW$7,'12 Space Heating Subcomponents'!J37)) *'13 Space Heating Costs'!$C$13:$AW$13)</f>
        <v>8368.4269036170444</v>
      </c>
      <c r="X19" s="140" cm="1">
        <f t="array" ref="X19">SUMPRODUCT(ISNUMBER( SEARCH('13 Space Heating Costs'!$C$7:$AW$7,'12 Space Heating Subcomponents'!K37)) *'13 Space Heating Costs'!$C$13:$AW$13)</f>
        <v>4120.4642354442321</v>
      </c>
      <c r="Y19" s="140" cm="1">
        <f t="array" ref="Y19">SUMPRODUCT(ISNUMBER( SEARCH('13 Space Heating Costs'!$C$7:$AW$7,'12 Space Heating Subcomponents'!L37)) *'13 Space Heating Costs'!$C$13:$AW$13)</f>
        <v>7505.2719403430474</v>
      </c>
      <c r="Z19" s="140" cm="1">
        <f t="array" ref="Z19">SUMPRODUCT(ISNUMBER( SEARCH('13 Space Heating Costs'!$C$7:$AW$7,'12 Space Heating Subcomponents'!M37)) *'13 Space Heating Costs'!$C$13:$AW$13)</f>
        <v>4683.0918788543913</v>
      </c>
      <c r="AA19" s="140" cm="1">
        <f t="array" ref="AA19">SUMPRODUCT(ISNUMBER( SEARCH('13 Space Heating Costs'!$C$7:$AW$7,'12 Space Heating Subcomponents'!N37)) *'13 Space Heating Costs'!$C$13:$AW$13)</f>
        <v>8247.5568198875881</v>
      </c>
      <c r="AB19" s="140" cm="1">
        <f t="array" ref="AB19">SUMPRODUCT(ISNUMBER( SEARCH('13 Space Heating Costs'!$C$7:$AW$7,'12 Space Heating Subcomponents'!O37)) *'13 Space Heating Costs'!$C$13:$AW$13)</f>
        <v>4683.0918788543913</v>
      </c>
      <c r="AC19" s="139"/>
      <c r="AD19" s="402" cm="1">
        <f t="array" ref="AD19">SUMPRODUCT(ISNUMBER( SEARCH('13 Space Heating Costs'!$C$7:$AW$7,'12 Space Heating Subcomponents'!Q37)) *'13 Space Heating Costs'!$C$13:$AW$13)</f>
        <v>10420.706092559325</v>
      </c>
      <c r="AE19" s="72"/>
      <c r="AF19" s="1105"/>
      <c r="AG19" s="182" t="s">
        <v>86</v>
      </c>
      <c r="AH19" s="182" t="s">
        <v>243</v>
      </c>
      <c r="AI19" s="140" cm="1">
        <f t="array" ref="AI19">SUMPRODUCT(ISNUMBER( SEARCH('13 Space Heating Costs'!$C$7:$AW$7,'12 Space Heating Subcomponents'!G53)) *'13 Space Heating Costs'!$C$13:$AW$13)</f>
        <v>2225.6025788303768</v>
      </c>
      <c r="AJ19" s="140" cm="1">
        <f t="array" ref="AJ19">SUMPRODUCT(ISNUMBER( SEARCH('13 Space Heating Costs'!$C$7:$AW$7,'12 Space Heating Subcomponents'!H53)) *'13 Space Heating Costs'!$C$13:$AW$13)</f>
        <v>3574.2039907620001</v>
      </c>
      <c r="AK19" s="140" cm="1">
        <f t="array" ref="AK19">SUMPRODUCT(ISNUMBER( SEARCH('13 Space Heating Costs'!$C$7:$AW$7,'12 Space Heating Subcomponents'!I53)) *'13 Space Heating Costs'!$C$13:$AW$13)</f>
        <v>5654.7385223009023</v>
      </c>
      <c r="AL19" s="140" cm="1">
        <f t="array" ref="AL19">SUMPRODUCT(ISNUMBER( SEARCH('13 Space Heating Costs'!$C$7:$AW$7,'12 Space Heating Subcomponents'!J53)) *'13 Space Heating Costs'!$C$13:$AW$13)</f>
        <v>7010.1596632435576</v>
      </c>
      <c r="AM19" s="140" cm="1">
        <f t="array" ref="AM19">SUMPRODUCT(ISNUMBER( SEARCH('13 Space Heating Costs'!$C$7:$AW$7,'12 Space Heating Subcomponents'!K53)) *'13 Space Heating Costs'!$C$13:$AW$13)</f>
        <v>2762.1969950707444</v>
      </c>
      <c r="AN19" s="140" cm="1">
        <f t="array" ref="AN19">SUMPRODUCT(ISNUMBER( SEARCH('13 Space Heating Costs'!$C$7:$AW$7,'12 Space Heating Subcomponents'!L53)) *'13 Space Heating Costs'!$C$13:$AW$13)</f>
        <v>6147.0046999695596</v>
      </c>
      <c r="AO19" s="140" cm="1">
        <f t="array" ref="AO19">SUMPRODUCT(ISNUMBER( SEARCH('13 Space Heating Costs'!$C$7:$AW$7,'12 Space Heating Subcomponents'!M53)) *'13 Space Heating Costs'!$C$13:$AW$13)</f>
        <v>3324.8246384809026</v>
      </c>
      <c r="AP19" s="140" cm="1">
        <f t="array" ref="AP19">SUMPRODUCT(ISNUMBER( SEARCH('13 Space Heating Costs'!$C$7:$AW$7,'12 Space Heating Subcomponents'!N53)) *'13 Space Heating Costs'!$C$13:$AW$13)</f>
        <v>6889.2895795140994</v>
      </c>
      <c r="AQ19" s="140" cm="1">
        <f t="array" ref="AQ19">SUMPRODUCT(ISNUMBER( SEARCH('13 Space Heating Costs'!$C$7:$AW$7,'12 Space Heating Subcomponents'!O53)) *'13 Space Heating Costs'!$C$13:$AW$13)</f>
        <v>3324.8246384809026</v>
      </c>
      <c r="AR19" s="139"/>
      <c r="AS19" s="402" cm="1">
        <f t="array" ref="AS19">SUMPRODUCT(ISNUMBER( SEARCH('13 Space Heating Costs'!$C$7:$AW$7,'12 Space Heating Subcomponents'!Q53)) *'13 Space Heating Costs'!$C$13:$AW$13)</f>
        <v>9062.4388521858382</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Costs'!$C$13:$AW$13)</f>
        <v>3949.1551524020251</v>
      </c>
      <c r="F20" s="403" cm="1">
        <f t="array" ref="F20">SUMPRODUCT(ISNUMBER( SEARCH('13 Space Heating Costs'!$C$7:$AW$7,'12 Space Heating Subcomponents'!H22)) *'13 Space Heating Costs'!$C$13:$AW$13)</f>
        <v>5297.7565643336493</v>
      </c>
      <c r="G20" s="403" cm="1">
        <f t="array" ref="G20">SUMPRODUCT(ISNUMBER( SEARCH('13 Space Heating Costs'!$C$7:$AW$7,'12 Space Heating Subcomponents'!I22)) *'13 Space Heating Costs'!$C$13:$AW$13)</f>
        <v>3942.3354233909931</v>
      </c>
      <c r="H20" s="403" cm="1">
        <f t="array" ref="H20">SUMPRODUCT(ISNUMBER( SEARCH('13 Space Heating Costs'!$C$7:$AW$7,'12 Space Heating Subcomponents'!J22)) *'13 Space Heating Costs'!$C$13:$AW$13)</f>
        <v>5297.7565643336493</v>
      </c>
      <c r="I20" s="403" cm="1">
        <f t="array" ref="I20">SUMPRODUCT(ISNUMBER( SEARCH('13 Space Heating Costs'!$C$7:$AW$7,'12 Space Heating Subcomponents'!K22)) *'13 Space Heating Costs'!$C$13:$AW$13)</f>
        <v>3788.8915206427682</v>
      </c>
      <c r="J20" s="403" cm="1">
        <f t="array" ref="J20">SUMPRODUCT(ISNUMBER( SEARCH('13 Space Heating Costs'!$C$7:$AW$7,'12 Space Heating Subcomponents'!L22)) *'13 Space Heating Costs'!$C$13:$AW$13)</f>
        <v>3737.7435530600264</v>
      </c>
      <c r="K20" s="403" cm="1">
        <f t="array" ref="K20">SUMPRODUCT(ISNUMBER( SEARCH('13 Space Heating Costs'!$C$7:$AW$7,'12 Space Heating Subcomponents'!M22)) *'13 Space Heating Costs'!$C$13:$AW$13)</f>
        <v>4351.5191640529265</v>
      </c>
      <c r="L20" s="403" cm="1">
        <f t="array" ref="L20">SUMPRODUCT(ISNUMBER( SEARCH('13 Space Heating Costs'!$C$7:$AW$7,'12 Space Heating Subcomponents'!N22)) *'13 Space Heating Costs'!$C$13:$AW$13)</f>
        <v>4480.0284326045658</v>
      </c>
      <c r="M20" s="403" cm="1">
        <f t="array" ref="M20">SUMPRODUCT(ISNUMBER( SEARCH('13 Space Heating Costs'!$C$7:$AW$7,'12 Space Heating Subcomponents'!O22)) *'13 Space Heating Costs'!$C$13:$AW$13)</f>
        <v>4351.5191640529265</v>
      </c>
      <c r="N20" s="403" cm="1">
        <f t="array" ref="N20">SUMPRODUCT(ISNUMBER( SEARCH('13 Space Heating Costs'!$C$7:$AW$7,'12 Space Heating Subcomponents'!P22)) *'13 Space Heating Costs'!$C$13:$AW$13)</f>
        <v>4939.7207912544563</v>
      </c>
      <c r="O20" s="516"/>
      <c r="P20" s="58"/>
      <c r="Q20" s="1106"/>
      <c r="R20" s="366" t="s">
        <v>252</v>
      </c>
      <c r="S20" s="366" t="s">
        <v>253</v>
      </c>
      <c r="T20" s="403" cm="1">
        <f t="array" ref="T20">SUMPRODUCT(ISNUMBER( SEARCH('13 Space Heating Costs'!$C$7:$AW$7,'12 Space Heating Subcomponents'!G38)) *'13 Space Heating Costs'!$C$13:$AW$13)</f>
        <v>3949.1551524020251</v>
      </c>
      <c r="U20" s="403" cm="1">
        <f t="array" ref="U20">SUMPRODUCT(ISNUMBER( SEARCH('13 Space Heating Costs'!$C$7:$AW$7,'12 Space Heating Subcomponents'!H38)) *'13 Space Heating Costs'!$C$13:$AW$13)</f>
        <v>5297.7565643336493</v>
      </c>
      <c r="V20" s="403" cm="1">
        <f t="array" ref="V20">SUMPRODUCT(ISNUMBER( SEARCH('13 Space Heating Costs'!$C$7:$AW$7,'12 Space Heating Subcomponents'!I38)) *'13 Space Heating Costs'!$C$13:$AW$13)</f>
        <v>3942.3354233909931</v>
      </c>
      <c r="W20" s="403" cm="1">
        <f t="array" ref="W20">SUMPRODUCT(ISNUMBER( SEARCH('13 Space Heating Costs'!$C$7:$AW$7,'12 Space Heating Subcomponents'!J38)) *'13 Space Heating Costs'!$C$13:$AW$13)</f>
        <v>5297.7565643336493</v>
      </c>
      <c r="X20" s="403" cm="1">
        <f t="array" ref="X20">SUMPRODUCT(ISNUMBER( SEARCH('13 Space Heating Costs'!$C$7:$AW$7,'12 Space Heating Subcomponents'!K38)) *'13 Space Heating Costs'!$C$13:$AW$13)</f>
        <v>3788.8915206427682</v>
      </c>
      <c r="Y20" s="403" cm="1">
        <f t="array" ref="Y20">SUMPRODUCT(ISNUMBER( SEARCH('13 Space Heating Costs'!$C$7:$AW$7,'12 Space Heating Subcomponents'!L38)) *'13 Space Heating Costs'!$C$13:$AW$13)</f>
        <v>3737.7435530600264</v>
      </c>
      <c r="Z20" s="403" cm="1">
        <f t="array" ref="Z20">SUMPRODUCT(ISNUMBER( SEARCH('13 Space Heating Costs'!$C$7:$AW$7,'12 Space Heating Subcomponents'!M38)) *'13 Space Heating Costs'!$C$13:$AW$13)</f>
        <v>4351.5191640529265</v>
      </c>
      <c r="AA20" s="403" cm="1">
        <f t="array" ref="AA20">SUMPRODUCT(ISNUMBER( SEARCH('13 Space Heating Costs'!$C$7:$AW$7,'12 Space Heating Subcomponents'!N38)) *'13 Space Heating Costs'!$C$13:$AW$13)</f>
        <v>4480.0284326045658</v>
      </c>
      <c r="AB20" s="403" cm="1">
        <f t="array" ref="AB20">SUMPRODUCT(ISNUMBER( SEARCH('13 Space Heating Costs'!$C$7:$AW$7,'12 Space Heating Subcomponents'!O38)) *'13 Space Heating Costs'!$C$13:$AW$13)</f>
        <v>4351.5191640529265</v>
      </c>
      <c r="AC20" s="403" cm="1">
        <f t="array" ref="AC20">SUMPRODUCT(ISNUMBER( SEARCH('13 Space Heating Costs'!$C$7:$AW$7,'12 Space Heating Subcomponents'!P38)) *'13 Space Heating Costs'!$C$13:$AW$13)</f>
        <v>4939.7207912544563</v>
      </c>
      <c r="AD20" s="516"/>
      <c r="AE20" s="58"/>
      <c r="AF20" s="1106"/>
      <c r="AG20" s="366" t="s">
        <v>252</v>
      </c>
      <c r="AH20" s="366" t="s">
        <v>253</v>
      </c>
      <c r="AI20" s="403" cm="1">
        <f t="array" ref="AI20">SUMPRODUCT(ISNUMBER( SEARCH('13 Space Heating Costs'!$C$7:$AW$7,'12 Space Heating Subcomponents'!G54)) *'13 Space Heating Costs'!$C$13:$AW$13)</f>
        <v>3949.1551524020251</v>
      </c>
      <c r="AJ20" s="403" cm="1">
        <f t="array" ref="AJ20">SUMPRODUCT(ISNUMBER( SEARCH('13 Space Heating Costs'!$C$7:$AW$7,'12 Space Heating Subcomponents'!H54)) *'13 Space Heating Costs'!$C$13:$AW$13)</f>
        <v>5297.7565643336493</v>
      </c>
      <c r="AK20" s="403" cm="1">
        <f t="array" ref="AK20">SUMPRODUCT(ISNUMBER( SEARCH('13 Space Heating Costs'!$C$7:$AW$7,'12 Space Heating Subcomponents'!I54)) *'13 Space Heating Costs'!$C$13:$AW$13)</f>
        <v>3942.3354233909931</v>
      </c>
      <c r="AL20" s="403" cm="1">
        <f t="array" ref="AL20">SUMPRODUCT(ISNUMBER( SEARCH('13 Space Heating Costs'!$C$7:$AW$7,'12 Space Heating Subcomponents'!J54)) *'13 Space Heating Costs'!$C$13:$AW$13)</f>
        <v>5297.7565643336493</v>
      </c>
      <c r="AM20" s="403" cm="1">
        <f t="array" ref="AM20">SUMPRODUCT(ISNUMBER( SEARCH('13 Space Heating Costs'!$C$7:$AW$7,'12 Space Heating Subcomponents'!K54)) *'13 Space Heating Costs'!$C$13:$AW$13)</f>
        <v>3788.8915206427682</v>
      </c>
      <c r="AN20" s="403" cm="1">
        <f t="array" ref="AN20">SUMPRODUCT(ISNUMBER( SEARCH('13 Space Heating Costs'!$C$7:$AW$7,'12 Space Heating Subcomponents'!L54)) *'13 Space Heating Costs'!$C$13:$AW$13)</f>
        <v>3737.7435530600264</v>
      </c>
      <c r="AO20" s="403" cm="1">
        <f t="array" ref="AO20">SUMPRODUCT(ISNUMBER( SEARCH('13 Space Heating Costs'!$C$7:$AW$7,'12 Space Heating Subcomponents'!M54)) *'13 Space Heating Costs'!$C$13:$AW$13)</f>
        <v>4351.5191640529265</v>
      </c>
      <c r="AP20" s="403" cm="1">
        <f t="array" ref="AP20">SUMPRODUCT(ISNUMBER( SEARCH('13 Space Heating Costs'!$C$7:$AW$7,'12 Space Heating Subcomponents'!N54)) *'13 Space Heating Costs'!$C$13:$AW$13)</f>
        <v>4480.0284326045658</v>
      </c>
      <c r="AQ20" s="403" cm="1">
        <f t="array" ref="AQ20">SUMPRODUCT(ISNUMBER( SEARCH('13 Space Heating Costs'!$C$7:$AW$7,'12 Space Heating Subcomponents'!O54)) *'13 Space Heating Costs'!$C$13:$AW$13)</f>
        <v>4351.5191640529265</v>
      </c>
      <c r="AR20" s="403" cm="1">
        <f t="array" ref="AR20">SUMPRODUCT(ISNUMBER( SEARCH('13 Space Heating Costs'!$C$7:$AW$7,'12 Space Heating Subcomponents'!P54)) *'13 Space Heating Costs'!$C$13:$AW$13)</f>
        <v>4939.7207912544563</v>
      </c>
      <c r="AS20" s="516"/>
      <c r="AT20" s="58"/>
    </row>
    <row r="21" spans="1:46" s="61" customFormat="1" ht="79.900000000000006"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A22" s="673"/>
      <c r="B22" s="1107" t="s">
        <v>1070</v>
      </c>
      <c r="C22" s="1108"/>
      <c r="D22" s="1108"/>
      <c r="E22" s="1108"/>
      <c r="F22" s="1108"/>
      <c r="G22" s="1108"/>
      <c r="H22" s="1109"/>
      <c r="I22"/>
      <c r="Q22" s="1107" t="s">
        <v>1071</v>
      </c>
      <c r="R22" s="1108"/>
      <c r="S22" s="1108"/>
      <c r="T22" s="1108"/>
      <c r="U22" s="1108"/>
      <c r="V22" s="1108"/>
      <c r="W22" s="1109"/>
      <c r="X22"/>
      <c r="AF22" s="1107" t="s">
        <v>1075</v>
      </c>
      <c r="AG22" s="1108"/>
      <c r="AH22" s="1108"/>
      <c r="AI22" s="1108"/>
      <c r="AJ22" s="1108"/>
      <c r="AK22" s="1108"/>
      <c r="AL22" s="1109"/>
      <c r="AM22" s="673"/>
      <c r="AN22" s="673"/>
      <c r="AO22" s="673"/>
      <c r="AP22" s="673"/>
      <c r="AQ22" s="673"/>
    </row>
    <row r="23" spans="1:46" s="5" customFormat="1" ht="79.900000000000006"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c r="AM23" s="675"/>
      <c r="AN23" s="675"/>
      <c r="AO23" s="675"/>
      <c r="AP23" s="675"/>
      <c r="AQ23" s="675"/>
    </row>
    <row r="24" spans="1:46" s="5" customFormat="1" ht="79.900000000000006"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c r="AM24" s="672"/>
      <c r="AN24" s="672"/>
      <c r="AO24" s="672"/>
      <c r="AP24" s="672"/>
      <c r="AQ24" s="672"/>
    </row>
    <row r="25" spans="1:46" s="5" customFormat="1" ht="79.900000000000006" customHeight="1" x14ac:dyDescent="0.25">
      <c r="B25" s="1114"/>
      <c r="C25" s="1115"/>
      <c r="D25" s="1122"/>
      <c r="E25" s="1122"/>
      <c r="F25" s="1122"/>
      <c r="G25" s="1122"/>
      <c r="H25" s="1124"/>
      <c r="I25"/>
      <c r="Q25" s="1114"/>
      <c r="R25" s="1115"/>
      <c r="S25" s="1122"/>
      <c r="T25" s="1122"/>
      <c r="U25" s="1122"/>
      <c r="V25" s="1122"/>
      <c r="W25" s="1124"/>
      <c r="X25"/>
      <c r="AF25" s="1114"/>
      <c r="AG25" s="1115"/>
      <c r="AH25" s="179"/>
      <c r="AI25" s="179"/>
      <c r="AJ25" s="179"/>
      <c r="AK25" s="179"/>
      <c r="AL25" s="180"/>
      <c r="AM25" s="676"/>
      <c r="AN25" s="676"/>
      <c r="AO25" s="676"/>
      <c r="AP25" s="676"/>
      <c r="AQ25" s="676"/>
    </row>
    <row r="26" spans="1:46" s="5" customFormat="1" ht="200.1" customHeight="1" x14ac:dyDescent="0.25">
      <c r="B26" s="1104" t="s">
        <v>952</v>
      </c>
      <c r="C26" s="149" t="s">
        <v>246</v>
      </c>
      <c r="D26" s="143" cm="1">
        <f t="array" ref="D26">SUMPRODUCT(ISNUMBER(SEARCH('16 Water Heating Costs'!$E$42:$AE$42,'16 Water Heating Costs'!F10)) *'16 Water Heating Costs'!$E$48:$AE$48)</f>
        <v>0</v>
      </c>
      <c r="E26" s="143" cm="1">
        <f t="array" ref="E26">SUMPRODUCT(ISNUMBER(SEARCH('16 Water Heating Costs'!$E$42:$AE$42,'16 Water Heating Costs'!G10)) *'16 Water Heating Costs'!$E$48:$AE$48)</f>
        <v>1184.4179022614203</v>
      </c>
      <c r="F26" s="143" cm="1">
        <f t="array" ref="F26">SUMPRODUCT(ISNUMBER(SEARCH('16 Water Heating Costs'!$E$42:$AE$42,'16 Water Heating Costs'!H10)) *'16 Water Heating Costs'!$E$48:$AE$48)</f>
        <v>1184.4179022614203</v>
      </c>
      <c r="G26" s="143" cm="1">
        <f t="array" ref="G26">SUMPRODUCT(ISNUMBER(SEARCH('16 Water Heating Costs'!$E$42:$AE$42,'16 Water Heating Costs'!I10)) *'16 Water Heating Costs'!$E$48:$AE$48)</f>
        <v>1184.4179022614203</v>
      </c>
      <c r="H26" s="150" cm="1">
        <f t="array" ref="H26">SUMPRODUCT(ISNUMBER(SEARCH('16 Water Heating Costs'!$E$42:$AE$42,'16 Water Heating Costs'!J10)) *'16 Water Heating Costs'!$E$48:$AE$48)</f>
        <v>923.35029717663917</v>
      </c>
      <c r="I26"/>
      <c r="Q26" s="1104" t="s">
        <v>952</v>
      </c>
      <c r="R26" s="149" t="s">
        <v>246</v>
      </c>
      <c r="S26" s="143" cm="1">
        <f t="array" ref="S26">SUMPRODUCT(ISNUMBER(SEARCH('16 Water Heating Costs'!$E$42:$AE$42,'16 Water Heating Costs'!N10)) *'16 Water Heating Costs'!$E$48:$AE$48)</f>
        <v>0</v>
      </c>
      <c r="T26" s="143" cm="1">
        <f t="array" ref="T26">SUMPRODUCT(ISNUMBER(SEARCH('16 Water Heating Costs'!$E$42:$AE$42,'16 Water Heating Costs'!O10)) *'16 Water Heating Costs'!$E$48:$AE$48)</f>
        <v>1184.4179022614203</v>
      </c>
      <c r="U26" s="143" cm="1">
        <f t="array" ref="U26">SUMPRODUCT(ISNUMBER(SEARCH('16 Water Heating Costs'!$E$42:$AE$42,'16 Water Heating Costs'!P10)) *'16 Water Heating Costs'!$E$48:$AE$48)</f>
        <v>1184.4179022614203</v>
      </c>
      <c r="V26" s="143" cm="1">
        <f t="array" ref="V26">SUMPRODUCT(ISNUMBER(SEARCH('16 Water Heating Costs'!$E$42:$AE$42,'16 Water Heating Costs'!Q10)) *'16 Water Heating Costs'!$E$48:$AE$48)</f>
        <v>1184.4179022614203</v>
      </c>
      <c r="W26" s="150" cm="1">
        <f t="array" ref="W26">SUMPRODUCT(ISNUMBER(SEARCH('16 Water Heating Costs'!$E$42:$AE$42,'16 Water Heating Costs'!R10)) *'16 Water Heating Costs'!$E$48:$AE$48)</f>
        <v>923.35029717663917</v>
      </c>
      <c r="X26"/>
      <c r="AF26" s="1104" t="s">
        <v>952</v>
      </c>
      <c r="AG26" s="149" t="s">
        <v>246</v>
      </c>
      <c r="AH26" s="143" cm="1">
        <f t="array" ref="AH26">SUMPRODUCT(ISNUMBER(SEARCH('16 Water Heating Costs'!$E$42:$AE$42,'16 Water Heating Costs'!V10)) *'16 Water Heating Costs'!$E$48:$AE$48)</f>
        <v>0</v>
      </c>
      <c r="AI26" s="143" cm="1">
        <f t="array" ref="AI26">SUMPRODUCT(ISNUMBER(SEARCH('16 Water Heating Costs'!$E$42:$AE$42,'16 Water Heating Costs'!W10)) *'16 Water Heating Costs'!$E$48:$AE$48)</f>
        <v>1184.4179022614203</v>
      </c>
      <c r="AJ26" s="143" cm="1">
        <f t="array" ref="AJ26">SUMPRODUCT(ISNUMBER(SEARCH('16 Water Heating Costs'!$E$42:$AE$42,'16 Water Heating Costs'!X10)) *'16 Water Heating Costs'!$E$48:$AE$48)</f>
        <v>1184.4179022614203</v>
      </c>
      <c r="AK26" s="143" cm="1">
        <f t="array" ref="AK26">SUMPRODUCT(ISNUMBER(SEARCH('16 Water Heating Costs'!$E$42:$AE$42,'16 Water Heating Costs'!Y10)) *'16 Water Heating Costs'!$E$48:$AE$48)</f>
        <v>1184.4179022614203</v>
      </c>
      <c r="AL26" s="150" cm="1">
        <f t="array" ref="AL26">SUMPRODUCT(ISNUMBER(SEARCH('16 Water Heating Costs'!$E$42:$AE$42,'16 Water Heating Costs'!Z10)) *'16 Water Heating Costs'!$E$48:$AE$48)</f>
        <v>923.35029717663917</v>
      </c>
      <c r="AM26" s="681"/>
      <c r="AN26" s="681"/>
      <c r="AO26" s="681"/>
      <c r="AP26" s="681"/>
      <c r="AQ26" s="681"/>
    </row>
    <row r="27" spans="1:46" s="5" customFormat="1" ht="200.1" customHeight="1" x14ac:dyDescent="0.25">
      <c r="B27" s="1105"/>
      <c r="C27" s="152" t="s">
        <v>244</v>
      </c>
      <c r="D27" s="142"/>
      <c r="E27" s="142"/>
      <c r="F27" s="142"/>
      <c r="G27" s="142"/>
      <c r="H27" s="144"/>
      <c r="I27"/>
      <c r="Q27" s="1105"/>
      <c r="R27" s="152" t="s">
        <v>244</v>
      </c>
      <c r="S27" s="142"/>
      <c r="T27" s="142"/>
      <c r="U27" s="142"/>
      <c r="V27" s="142"/>
      <c r="W27" s="144"/>
      <c r="X27"/>
      <c r="AF27" s="1119"/>
      <c r="AG27" s="152" t="s">
        <v>244</v>
      </c>
      <c r="AH27" s="142"/>
      <c r="AI27" s="142"/>
      <c r="AJ27" s="142"/>
      <c r="AK27" s="142"/>
      <c r="AL27" s="144"/>
      <c r="AM27" s="681"/>
      <c r="AN27" s="681"/>
      <c r="AO27" s="681"/>
      <c r="AP27" s="681"/>
      <c r="AQ27" s="681"/>
    </row>
    <row r="28" spans="1:46" s="5" customFormat="1" ht="200.1" customHeight="1" x14ac:dyDescent="0.25">
      <c r="B28" s="1105"/>
      <c r="C28" s="152" t="s">
        <v>86</v>
      </c>
      <c r="D28" s="143" cm="1">
        <f t="array" ref="D28">SUMPRODUCT(ISNUMBER(SEARCH('16 Water Heating Costs'!$E$42:$AE$42,'16 Water Heating Costs'!F12)) *'16 Water Heating Costs'!$E$48:$AE$48)</f>
        <v>3909.6256525434028</v>
      </c>
      <c r="E28" s="143" cm="1">
        <f t="array" ref="E28">SUMPRODUCT(ISNUMBER(SEARCH('16 Water Heating Costs'!$E$42:$AE$42,'16 Water Heating Costs'!G12)) *'16 Water Heating Costs'!$E$48:$AE$48)</f>
        <v>3393.8352096285589</v>
      </c>
      <c r="F28" s="143" cm="1">
        <f t="array" ref="F28">SUMPRODUCT(ISNUMBER(SEARCH('16 Water Heating Costs'!$E$42:$AE$42,'16 Water Heating Costs'!H12)) *'16 Water Heating Costs'!$E$48:$AE$48)</f>
        <v>2468.7499543995282</v>
      </c>
      <c r="G28" s="143" cm="1">
        <f t="array" ref="G28">SUMPRODUCT(ISNUMBER(SEARCH('16 Water Heating Costs'!$E$42:$AE$42,'16 Water Heating Costs'!I12)) *'16 Water Heating Costs'!$E$48:$AE$48)</f>
        <v>3393.8352096285589</v>
      </c>
      <c r="H28" s="150" cm="1">
        <f t="array" ref="H28">SUMPRODUCT(ISNUMBER(SEARCH('16 Water Heating Costs'!$E$42:$AE$42,'16 Water Heating Costs'!J12)) *'16 Water Heating Costs'!$E$48:$AE$48)</f>
        <v>3909.6256525434028</v>
      </c>
      <c r="I28"/>
      <c r="Q28" s="1105"/>
      <c r="R28" s="152" t="s">
        <v>86</v>
      </c>
      <c r="S28" s="143" cm="1">
        <f t="array" ref="S28">SUMPRODUCT(ISNUMBER(SEARCH('16 Water Heating Costs'!$E$42:$AE$42,'16 Water Heating Costs'!N12)) *'16 Water Heating Costs'!$E$48:$AE$48)</f>
        <v>4413.1666599561067</v>
      </c>
      <c r="T28" s="143" cm="1">
        <f t="array" ref="T28">SUMPRODUCT(ISNUMBER(SEARCH('16 Water Heating Costs'!$E$42:$AE$42,'16 Water Heating Costs'!O12)) *'16 Water Heating Costs'!$E$48:$AE$48)</f>
        <v>3897.3762170412629</v>
      </c>
      <c r="U28" s="143" cm="1">
        <f t="array" ref="U28">SUMPRODUCT(ISNUMBER(SEARCH('16 Water Heating Costs'!$E$42:$AE$42,'16 Water Heating Costs'!P12)) *'16 Water Heating Costs'!$E$48:$AE$48)</f>
        <v>2972.2909618122321</v>
      </c>
      <c r="V28" s="143" cm="1">
        <f t="array" ref="V28">SUMPRODUCT(ISNUMBER(SEARCH('16 Water Heating Costs'!$E$42:$AE$42,'16 Water Heating Costs'!Q12)) *'16 Water Heating Costs'!$E$48:$AE$48)</f>
        <v>3897.3762170412629</v>
      </c>
      <c r="W28" s="150" cm="1">
        <f t="array" ref="W28">SUMPRODUCT(ISNUMBER(SEARCH('16 Water Heating Costs'!$E$42:$AE$42,'16 Water Heating Costs'!R12)) *'16 Water Heating Costs'!$E$48:$AE$48)</f>
        <v>4413.1666599561067</v>
      </c>
      <c r="X28"/>
      <c r="AF28" s="1119"/>
      <c r="AG28" s="152" t="s">
        <v>86</v>
      </c>
      <c r="AH28" s="143" cm="1">
        <f t="array" ref="AH28">SUMPRODUCT(ISNUMBER(SEARCH('16 Water Heating Costs'!$E$42:$AE$42,'16 Water Heating Costs'!V12)) *'16 Water Heating Costs'!$E$48:$AE$48)</f>
        <v>3272.5669828609657</v>
      </c>
      <c r="AI28" s="143" cm="1">
        <f t="array" ref="AI28">SUMPRODUCT(ISNUMBER(SEARCH('16 Water Heating Costs'!$E$42:$AE$42,'16 Water Heating Costs'!W12)) *'16 Water Heating Costs'!$E$48:$AE$48)</f>
        <v>2756.7765399461223</v>
      </c>
      <c r="AJ28" s="143" cm="1">
        <f t="array" ref="AJ28">SUMPRODUCT(ISNUMBER(SEARCH('16 Water Heating Costs'!$E$42:$AE$42,'16 Water Heating Costs'!X12)) *'16 Water Heating Costs'!$E$48:$AE$48)</f>
        <v>1831.6912847170915</v>
      </c>
      <c r="AK28" s="143" cm="1">
        <f t="array" ref="AK28">SUMPRODUCT(ISNUMBER(SEARCH('16 Water Heating Costs'!$E$42:$AE$42,'16 Water Heating Costs'!Y12)) *'16 Water Heating Costs'!$E$48:$AE$48)</f>
        <v>2756.7765399461223</v>
      </c>
      <c r="AL28" s="150" cm="1">
        <f t="array" ref="AL28">SUMPRODUCT(ISNUMBER(SEARCH('16 Water Heating Costs'!$E$42:$AE$42,'16 Water Heating Costs'!Z12)) *'16 Water Heating Costs'!$E$48:$AE$48)</f>
        <v>3272.5669828609657</v>
      </c>
      <c r="AM28" s="681"/>
      <c r="AN28" s="681"/>
      <c r="AO28" s="681"/>
      <c r="AP28" s="681"/>
      <c r="AQ28" s="681"/>
    </row>
    <row r="29" spans="1:46" s="5" customFormat="1" ht="200.1" customHeight="1" x14ac:dyDescent="0.25">
      <c r="B29" s="1105"/>
      <c r="C29" s="152" t="s">
        <v>242</v>
      </c>
      <c r="D29" s="143" cm="1">
        <f t="array" ref="D29">SUMPRODUCT(ISNUMBER(SEARCH('16 Water Heating Costs'!$E$42:$AE$42,'16 Water Heating Costs'!F13)) *'16 Water Heating Costs'!$E$48:$AE$48)</f>
        <v>3909.6256525434028</v>
      </c>
      <c r="E29" s="143" cm="1">
        <f t="array" ref="E29">SUMPRODUCT(ISNUMBER(SEARCH('16 Water Heating Costs'!$E$42:$AE$42,'16 Water Heating Costs'!G13)) *'16 Water Heating Costs'!$E$48:$AE$48)</f>
        <v>3393.8352096285589</v>
      </c>
      <c r="F29" s="143" cm="1">
        <f t="array" ref="F29">SUMPRODUCT(ISNUMBER(SEARCH('16 Water Heating Costs'!$E$42:$AE$42,'16 Water Heating Costs'!H13)) *'16 Water Heating Costs'!$E$48:$AE$48)</f>
        <v>3393.8352096285589</v>
      </c>
      <c r="G29" s="143" cm="1">
        <f t="array" ref="G29">SUMPRODUCT(ISNUMBER(SEARCH('16 Water Heating Costs'!$E$42:$AE$42,'16 Water Heating Costs'!I13)) *'16 Water Heating Costs'!$E$48:$AE$48)</f>
        <v>2468.7499543995282</v>
      </c>
      <c r="H29" s="150" cm="1">
        <f t="array" ref="H29">SUMPRODUCT(ISNUMBER(SEARCH('16 Water Heating Costs'!$E$42:$AE$42,'16 Water Heating Costs'!J13)) *'16 Water Heating Costs'!$E$48:$AE$48)</f>
        <v>3909.6256525434028</v>
      </c>
      <c r="I29"/>
      <c r="Q29" s="1105"/>
      <c r="R29" s="152" t="s">
        <v>242</v>
      </c>
      <c r="S29" s="143" cm="1">
        <f t="array" ref="S29">SUMPRODUCT(ISNUMBER(SEARCH('16 Water Heating Costs'!$E$42:$AE$42,'16 Water Heating Costs'!N13)) *'16 Water Heating Costs'!$E$48:$AE$48)</f>
        <v>4413.1666599561067</v>
      </c>
      <c r="T29" s="143" cm="1">
        <f t="array" ref="T29">SUMPRODUCT(ISNUMBER(SEARCH('16 Water Heating Costs'!$E$42:$AE$42,'16 Water Heating Costs'!O13)) *'16 Water Heating Costs'!$E$48:$AE$48)</f>
        <v>3897.3762170412629</v>
      </c>
      <c r="U29" s="143" cm="1">
        <f t="array" ref="U29">SUMPRODUCT(ISNUMBER(SEARCH('16 Water Heating Costs'!$E$42:$AE$42,'16 Water Heating Costs'!P13)) *'16 Water Heating Costs'!$E$48:$AE$48)</f>
        <v>3897.3762170412629</v>
      </c>
      <c r="V29" s="143" cm="1">
        <f t="array" ref="V29">SUMPRODUCT(ISNUMBER(SEARCH('16 Water Heating Costs'!$E$42:$AE$42,'16 Water Heating Costs'!Q13)) *'16 Water Heating Costs'!$E$48:$AE$48)</f>
        <v>2972.2909618122321</v>
      </c>
      <c r="W29" s="150" cm="1">
        <f t="array" ref="W29">SUMPRODUCT(ISNUMBER(SEARCH('16 Water Heating Costs'!$E$42:$AE$42,'16 Water Heating Costs'!R13)) *'16 Water Heating Costs'!$E$48:$AE$48)</f>
        <v>4413.1666599561067</v>
      </c>
      <c r="X29"/>
      <c r="AF29" s="1119"/>
      <c r="AG29" s="152" t="s">
        <v>242</v>
      </c>
      <c r="AH29" s="143" cm="1">
        <f t="array" ref="AH29">SUMPRODUCT(ISNUMBER(SEARCH('16 Water Heating Costs'!$E$42:$AE$42,'16 Water Heating Costs'!V13)) *'16 Water Heating Costs'!$E$48:$AE$48)</f>
        <v>3272.5669828609657</v>
      </c>
      <c r="AI29" s="143" cm="1">
        <f t="array" ref="AI29">SUMPRODUCT(ISNUMBER(SEARCH('16 Water Heating Costs'!$E$42:$AE$42,'16 Water Heating Costs'!W13)) *'16 Water Heating Costs'!$E$48:$AE$48)</f>
        <v>2756.7765399461223</v>
      </c>
      <c r="AJ29" s="143" cm="1">
        <f t="array" ref="AJ29">SUMPRODUCT(ISNUMBER(SEARCH('16 Water Heating Costs'!$E$42:$AE$42,'16 Water Heating Costs'!X13)) *'16 Water Heating Costs'!$E$48:$AE$48)</f>
        <v>2756.7765399461223</v>
      </c>
      <c r="AK29" s="143" cm="1">
        <f t="array" ref="AK29">SUMPRODUCT(ISNUMBER(SEARCH('16 Water Heating Costs'!$E$42:$AE$42,'16 Water Heating Costs'!Y13)) *'16 Water Heating Costs'!$E$48:$AE$48)</f>
        <v>1831.6912847170915</v>
      </c>
      <c r="AL29" s="150" cm="1">
        <f t="array" ref="AL29">SUMPRODUCT(ISNUMBER(SEARCH('16 Water Heating Costs'!$E$42:$AE$42,'16 Water Heating Costs'!Z13)) *'16 Water Heating Costs'!$E$48:$AE$48)</f>
        <v>3272.5669828609657</v>
      </c>
      <c r="AM29" s="681"/>
      <c r="AN29" s="681"/>
      <c r="AO29" s="681"/>
      <c r="AP29" s="681"/>
      <c r="AQ29" s="681"/>
    </row>
    <row r="30" spans="1:46" s="5" customFormat="1" ht="200.1" customHeight="1" thickBot="1" x14ac:dyDescent="0.3">
      <c r="B30" s="1106"/>
      <c r="C30" s="153" t="s">
        <v>172</v>
      </c>
      <c r="D30" s="145"/>
      <c r="E30" s="145"/>
      <c r="F30" s="145"/>
      <c r="G30" s="145"/>
      <c r="H30" s="426"/>
      <c r="I30"/>
      <c r="Q30" s="1106"/>
      <c r="R30" s="153" t="s">
        <v>172</v>
      </c>
      <c r="S30" s="145"/>
      <c r="T30" s="145"/>
      <c r="U30" s="145"/>
      <c r="V30" s="145"/>
      <c r="W30" s="426"/>
      <c r="X30"/>
      <c r="AF30" s="1120"/>
      <c r="AG30" s="153" t="s">
        <v>172</v>
      </c>
      <c r="AH30" s="145"/>
      <c r="AI30" s="145"/>
      <c r="AJ30" s="145"/>
      <c r="AK30" s="145"/>
      <c r="AL30" s="426"/>
      <c r="AM30" s="681"/>
      <c r="AN30" s="681"/>
      <c r="AO30" s="681"/>
      <c r="AP30" s="681"/>
      <c r="AQ30" s="681"/>
    </row>
    <row r="31" spans="1:46" s="59" customFormat="1" ht="80.099999999999994" customHeight="1" thickBot="1" x14ac:dyDescent="0.3">
      <c r="A31" s="154"/>
      <c r="B31"/>
      <c r="C31"/>
      <c r="D31"/>
      <c r="E31"/>
      <c r="F31"/>
      <c r="G31"/>
      <c r="H31"/>
      <c r="I31"/>
      <c r="J31" s="5"/>
      <c r="K31" s="5"/>
      <c r="L31" s="5"/>
      <c r="M31" s="5"/>
      <c r="N31" s="5"/>
      <c r="O31" s="5"/>
      <c r="P31" s="5"/>
      <c r="Q31"/>
      <c r="R31"/>
      <c r="S31"/>
      <c r="T31"/>
      <c r="U31"/>
      <c r="V31"/>
      <c r="W31"/>
      <c r="X31"/>
      <c r="Y31" s="5"/>
      <c r="Z31" s="5"/>
      <c r="AA31" s="5"/>
      <c r="AB31" s="5"/>
      <c r="AC31" s="5"/>
      <c r="AD31" s="5"/>
      <c r="AE31" s="5"/>
      <c r="AF31"/>
      <c r="AG31"/>
      <c r="AH31"/>
      <c r="AI31"/>
      <c r="AJ31"/>
      <c r="AK31"/>
      <c r="AL31"/>
    </row>
    <row r="32" spans="1:46" ht="175.15" customHeight="1" x14ac:dyDescent="0.25">
      <c r="A32" s="60"/>
      <c r="B32" s="1107" t="s">
        <v>1073</v>
      </c>
      <c r="C32" s="1108"/>
      <c r="D32" s="1108"/>
      <c r="E32" s="1108"/>
      <c r="F32" s="1108"/>
      <c r="G32" s="1108"/>
      <c r="H32" s="1109"/>
      <c r="I32"/>
      <c r="P32" s="5"/>
      <c r="Q32" s="1107" t="s">
        <v>1072</v>
      </c>
      <c r="R32" s="1108"/>
      <c r="S32" s="1108"/>
      <c r="T32" s="1108"/>
      <c r="U32" s="1108"/>
      <c r="V32" s="1108"/>
      <c r="W32" s="1109"/>
      <c r="X32"/>
      <c r="Y32" s="5"/>
      <c r="Z32" s="5"/>
      <c r="AA32" s="5"/>
      <c r="AB32" s="5"/>
      <c r="AC32" s="5"/>
      <c r="AD32" s="5"/>
      <c r="AE32" s="5"/>
      <c r="AF32" s="1107" t="s">
        <v>1076</v>
      </c>
      <c r="AG32" s="1108"/>
      <c r="AH32" s="1108"/>
      <c r="AI32" s="1108"/>
      <c r="AJ32" s="1108"/>
      <c r="AK32" s="1108"/>
      <c r="AL32" s="1109"/>
      <c r="AM32" s="72"/>
    </row>
    <row r="33" spans="1:39" ht="79.900000000000006" customHeight="1" x14ac:dyDescent="0.25">
      <c r="A33" s="60"/>
      <c r="B33" s="1110" t="s">
        <v>977</v>
      </c>
      <c r="C33" s="1111"/>
      <c r="D33" s="1116" t="s">
        <v>951</v>
      </c>
      <c r="E33" s="1117"/>
      <c r="F33" s="1117"/>
      <c r="G33" s="1117"/>
      <c r="H33" s="1118"/>
      <c r="I33"/>
      <c r="P33" s="5"/>
      <c r="Q33" s="1110" t="s">
        <v>977</v>
      </c>
      <c r="R33" s="1111"/>
      <c r="S33" s="1116" t="s">
        <v>951</v>
      </c>
      <c r="T33" s="1117"/>
      <c r="U33" s="1117"/>
      <c r="V33" s="1117"/>
      <c r="W33" s="1118"/>
      <c r="X33"/>
      <c r="Y33" s="5"/>
      <c r="Z33" s="5"/>
      <c r="AA33" s="5"/>
      <c r="AB33" s="5"/>
      <c r="AC33" s="5"/>
      <c r="AD33" s="5"/>
      <c r="AE33" s="5"/>
      <c r="AF33" s="1110" t="s">
        <v>977</v>
      </c>
      <c r="AG33" s="1111"/>
      <c r="AH33" s="1116" t="s">
        <v>951</v>
      </c>
      <c r="AI33" s="1117"/>
      <c r="AJ33" s="1117"/>
      <c r="AK33" s="1117"/>
      <c r="AL33" s="1118"/>
      <c r="AM33" s="72"/>
    </row>
    <row r="34" spans="1:39" ht="79.900000000000006" customHeight="1" x14ac:dyDescent="0.25">
      <c r="A34" s="60"/>
      <c r="B34" s="1112"/>
      <c r="C34" s="1113"/>
      <c r="D34" s="1121" t="s">
        <v>246</v>
      </c>
      <c r="E34" s="1121" t="s">
        <v>244</v>
      </c>
      <c r="F34" s="1121" t="s">
        <v>86</v>
      </c>
      <c r="G34" s="1121" t="s">
        <v>242</v>
      </c>
      <c r="H34" s="1123" t="s">
        <v>172</v>
      </c>
      <c r="I34"/>
      <c r="P34" s="5"/>
      <c r="Q34" s="1112"/>
      <c r="R34" s="1113"/>
      <c r="S34" s="1121" t="s">
        <v>246</v>
      </c>
      <c r="T34" s="1121" t="s">
        <v>244</v>
      </c>
      <c r="U34" s="1121" t="s">
        <v>86</v>
      </c>
      <c r="V34" s="1121" t="s">
        <v>242</v>
      </c>
      <c r="W34" s="1123" t="s">
        <v>172</v>
      </c>
      <c r="X34"/>
      <c r="Y34" s="5"/>
      <c r="Z34" s="5"/>
      <c r="AA34" s="5"/>
      <c r="AB34" s="5"/>
      <c r="AC34" s="5"/>
      <c r="AD34" s="5"/>
      <c r="AE34" s="5"/>
      <c r="AF34" s="1112"/>
      <c r="AG34" s="1113"/>
      <c r="AH34" s="668" t="s">
        <v>246</v>
      </c>
      <c r="AI34" s="668" t="s">
        <v>244</v>
      </c>
      <c r="AJ34" s="668" t="s">
        <v>86</v>
      </c>
      <c r="AK34" s="668" t="s">
        <v>242</v>
      </c>
      <c r="AL34" s="677" t="s">
        <v>172</v>
      </c>
      <c r="AM34" s="72"/>
    </row>
    <row r="35" spans="1:39" ht="79.900000000000006" customHeight="1" x14ac:dyDescent="0.25">
      <c r="A35" s="60"/>
      <c r="B35" s="1114"/>
      <c r="C35" s="1115"/>
      <c r="D35" s="1122"/>
      <c r="E35" s="1122"/>
      <c r="F35" s="1122"/>
      <c r="G35" s="1122"/>
      <c r="H35" s="1124"/>
      <c r="I35"/>
      <c r="P35" s="5"/>
      <c r="Q35" s="1114"/>
      <c r="R35" s="1115"/>
      <c r="S35" s="1122"/>
      <c r="T35" s="1122"/>
      <c r="U35" s="1122"/>
      <c r="V35" s="1122"/>
      <c r="W35" s="1124"/>
      <c r="X35"/>
      <c r="Y35" s="5"/>
      <c r="Z35" s="5"/>
      <c r="AA35" s="5"/>
      <c r="AB35" s="5"/>
      <c r="AC35" s="5"/>
      <c r="AD35" s="5"/>
      <c r="AE35" s="5"/>
      <c r="AF35" s="1114"/>
      <c r="AG35" s="1115"/>
      <c r="AH35" s="179"/>
      <c r="AI35" s="179"/>
      <c r="AJ35" s="179"/>
      <c r="AK35" s="179"/>
      <c r="AL35" s="180"/>
      <c r="AM35" s="72"/>
    </row>
    <row r="36" spans="1:39" ht="199.9" customHeight="1" x14ac:dyDescent="0.25">
      <c r="A36" s="60"/>
      <c r="B36" s="1104" t="s">
        <v>989</v>
      </c>
      <c r="C36" s="149" t="s">
        <v>246</v>
      </c>
      <c r="D36" s="142"/>
      <c r="E36" s="143" cm="1">
        <f t="array" ref="E36">SUMPRODUCT(ISNUMBER(SEARCH('16 Water Heating Costs'!$E$42:$AE$42,'16 Water Heating Costs'!G22)) *'16 Water Heating Costs'!$E$48:$AE$48)</f>
        <v>1184.4179022614203</v>
      </c>
      <c r="F36" s="143" cm="1">
        <f t="array" ref="F36">SUMPRODUCT(ISNUMBER(SEARCH('16 Water Heating Costs'!$E$42:$AE$42,'16 Water Heating Costs'!H22)) *'16 Water Heating Costs'!$E$48:$AE$48)</f>
        <v>1184.4179022614203</v>
      </c>
      <c r="G36" s="143" cm="1">
        <f t="array" ref="G36">SUMPRODUCT(ISNUMBER(SEARCH('16 Water Heating Costs'!$E$42:$AE$42,'16 Water Heating Costs'!I22)) *'16 Water Heating Costs'!$E$48:$AE$48)</f>
        <v>1184.4179022614203</v>
      </c>
      <c r="H36" s="150" cm="1">
        <f t="array" ref="H36">SUMPRODUCT(ISNUMBER(SEARCH('16 Water Heating Costs'!$E$42:$AE$42,'16 Water Heating Costs'!J22)) *'16 Water Heating Costs'!$E$48:$AE$48)</f>
        <v>923.35029717663917</v>
      </c>
      <c r="I36"/>
      <c r="P36" s="5"/>
      <c r="Q36" s="1104" t="s">
        <v>989</v>
      </c>
      <c r="R36" s="149" t="s">
        <v>246</v>
      </c>
      <c r="S36" s="142"/>
      <c r="T36" s="143" cm="1">
        <f t="array" ref="T36">SUMPRODUCT(ISNUMBER(SEARCH('16 Water Heating Costs'!$E$42:$AE$42,'16 Water Heating Costs'!O22)) *'16 Water Heating Costs'!$E$48:$AE$48)</f>
        <v>1184.4179022614203</v>
      </c>
      <c r="U36" s="143" cm="1">
        <f t="array" ref="U36">SUMPRODUCT(ISNUMBER(SEARCH('16 Water Heating Costs'!$E$42:$AE$42,'16 Water Heating Costs'!P22)) *'16 Water Heating Costs'!$E$48:$AE$48)</f>
        <v>1184.4179022614203</v>
      </c>
      <c r="V36" s="143" cm="1">
        <f t="array" ref="V36">SUMPRODUCT(ISNUMBER(SEARCH('16 Water Heating Costs'!$E$42:$AE$42,'16 Water Heating Costs'!Q22)) *'16 Water Heating Costs'!$E$48:$AE$48)</f>
        <v>1184.4179022614203</v>
      </c>
      <c r="W36" s="150" cm="1">
        <f t="array" ref="W36">SUMPRODUCT(ISNUMBER(SEARCH('16 Water Heating Costs'!$E$42:$AE$42,'16 Water Heating Costs'!R22)) *'16 Water Heating Costs'!$E$48:$AE$48)</f>
        <v>923.35029717663917</v>
      </c>
      <c r="X36"/>
      <c r="Y36" s="5"/>
      <c r="Z36" s="5"/>
      <c r="AA36" s="5"/>
      <c r="AB36" s="5"/>
      <c r="AC36" s="5"/>
      <c r="AD36" s="5"/>
      <c r="AE36" s="5"/>
      <c r="AF36" s="1104" t="s">
        <v>989</v>
      </c>
      <c r="AG36" s="149" t="s">
        <v>246</v>
      </c>
      <c r="AH36" s="142"/>
      <c r="AI36" s="143" cm="1">
        <f t="array" ref="AI36">SUMPRODUCT(ISNUMBER(SEARCH('16 Water Heating Costs'!$E$42:$AE$42,'16 Water Heating Costs'!W22)) *'16 Water Heating Costs'!$E$48:$AE$48)</f>
        <v>1184.4179022614203</v>
      </c>
      <c r="AJ36" s="143" cm="1">
        <f t="array" ref="AJ36">SUMPRODUCT(ISNUMBER(SEARCH('16 Water Heating Costs'!$E$42:$AE$42,'16 Water Heating Costs'!X22)) *'16 Water Heating Costs'!$E$48:$AE$48)</f>
        <v>1184.4179022614203</v>
      </c>
      <c r="AK36" s="143" cm="1">
        <f t="array" ref="AK36">SUMPRODUCT(ISNUMBER(SEARCH('16 Water Heating Costs'!$E$42:$AE$42,'16 Water Heating Costs'!Y22)) *'16 Water Heating Costs'!$E$48:$AE$48)</f>
        <v>1184.4179022614203</v>
      </c>
      <c r="AL36" s="150" cm="1">
        <f t="array" ref="AL36">SUMPRODUCT(ISNUMBER(SEARCH('16 Water Heating Costs'!$E$42:$AE$42,'16 Water Heating Costs'!Z22)) *'16 Water Heating Costs'!$E$48:$AE$48)</f>
        <v>923.35029717663917</v>
      </c>
      <c r="AM36" s="72"/>
    </row>
    <row r="37" spans="1:39" ht="199.9" customHeight="1" x14ac:dyDescent="0.25">
      <c r="A37" s="60"/>
      <c r="B37" s="1105"/>
      <c r="C37" s="152" t="s">
        <v>244</v>
      </c>
      <c r="D37" s="143" cm="1">
        <f t="array" ref="D37">SUMPRODUCT(ISNUMBER(SEARCH('16 Water Heating Costs'!$E$42:$AE$42,'16 Water Heating Costs'!F23)) *'16 Water Heating Costs'!$E$48:$AE$48)</f>
        <v>1292.8985982575116</v>
      </c>
      <c r="E37" s="142"/>
      <c r="F37" s="143" cm="1">
        <f t="array" ref="F37">SUMPRODUCT(ISNUMBER(SEARCH('16 Water Heating Costs'!$E$42:$AE$42,'16 Water Heating Costs'!H23)) *'16 Water Heating Costs'!$E$48:$AE$48)</f>
        <v>777.1081553426684</v>
      </c>
      <c r="G37" s="143" cm="1">
        <f t="array" ref="G37">SUMPRODUCT(ISNUMBER(SEARCH('16 Water Heating Costs'!$E$42:$AE$42,'16 Water Heating Costs'!I23)) *'16 Water Heating Costs'!$E$48:$AE$48)</f>
        <v>777.1081553426684</v>
      </c>
      <c r="H37" s="150" cm="1">
        <f t="array" ref="H37">SUMPRODUCT(ISNUMBER(SEARCH('16 Water Heating Costs'!$E$42:$AE$42,'16 Water Heating Costs'!J23)) *'16 Water Heating Costs'!$E$48:$AE$48)</f>
        <v>1292.8985982575116</v>
      </c>
      <c r="I37"/>
      <c r="P37" s="5"/>
      <c r="Q37" s="1105"/>
      <c r="R37" s="152" t="s">
        <v>244</v>
      </c>
      <c r="S37" s="143" cm="1">
        <f t="array" ref="S37">SUMPRODUCT(ISNUMBER(SEARCH('16 Water Heating Costs'!$E$42:$AE$42,'16 Water Heating Costs'!N23)) *'16 Water Heating Costs'!$E$48:$AE$48)</f>
        <v>1292.8985982575116</v>
      </c>
      <c r="T37" s="142"/>
      <c r="U37" s="143" cm="1">
        <f t="array" ref="U37">SUMPRODUCT(ISNUMBER(SEARCH('16 Water Heating Costs'!$E$42:$AE$42,'16 Water Heating Costs'!P23)) *'16 Water Heating Costs'!$E$48:$AE$48)</f>
        <v>777.1081553426684</v>
      </c>
      <c r="V37" s="143" cm="1">
        <f t="array" ref="V37">SUMPRODUCT(ISNUMBER(SEARCH('16 Water Heating Costs'!$E$42:$AE$42,'16 Water Heating Costs'!Q23)) *'16 Water Heating Costs'!$E$48:$AE$48)</f>
        <v>777.1081553426684</v>
      </c>
      <c r="W37" s="150" cm="1">
        <f t="array" ref="W37">SUMPRODUCT(ISNUMBER(SEARCH('16 Water Heating Costs'!$E$42:$AE$42,'16 Water Heating Costs'!R23)) *'16 Water Heating Costs'!$E$48:$AE$48)</f>
        <v>1292.8985982575116</v>
      </c>
      <c r="X37"/>
      <c r="Y37" s="5"/>
      <c r="Z37" s="5"/>
      <c r="AA37" s="5"/>
      <c r="AB37" s="5"/>
      <c r="AC37" s="5"/>
      <c r="AD37" s="5"/>
      <c r="AE37" s="5"/>
      <c r="AF37" s="1119"/>
      <c r="AG37" s="152" t="s">
        <v>244</v>
      </c>
      <c r="AH37" s="143" cm="1">
        <f t="array" ref="AH37">SUMPRODUCT(ISNUMBER(SEARCH('16 Water Heating Costs'!$E$42:$AE$42,'16 Water Heating Costs'!V23)) *'16 Water Heating Costs'!$E$48:$AE$48)</f>
        <v>1292.8985982575116</v>
      </c>
      <c r="AI37" s="142"/>
      <c r="AJ37" s="143" cm="1">
        <f t="array" ref="AJ37">SUMPRODUCT(ISNUMBER(SEARCH('16 Water Heating Costs'!$E$42:$AE$42,'16 Water Heating Costs'!X23)) *'16 Water Heating Costs'!$E$48:$AE$48)</f>
        <v>777.1081553426684</v>
      </c>
      <c r="AK37" s="143" cm="1">
        <f t="array" ref="AK37">SUMPRODUCT(ISNUMBER(SEARCH('16 Water Heating Costs'!$E$42:$AE$42,'16 Water Heating Costs'!Y23)) *'16 Water Heating Costs'!$E$48:$AE$48)</f>
        <v>777.1081553426684</v>
      </c>
      <c r="AL37" s="150" cm="1">
        <f t="array" ref="AL37">SUMPRODUCT(ISNUMBER(SEARCH('16 Water Heating Costs'!$E$42:$AE$42,'16 Water Heating Costs'!Z23)) *'16 Water Heating Costs'!$E$48:$AE$48)</f>
        <v>1292.8985982575116</v>
      </c>
      <c r="AM37" s="72"/>
    </row>
    <row r="38" spans="1:39" s="61" customFormat="1" ht="199.9" customHeight="1" x14ac:dyDescent="0.25">
      <c r="A38" s="60"/>
      <c r="B38" s="1105"/>
      <c r="C38" s="152" t="s">
        <v>86</v>
      </c>
      <c r="D38" s="143" cm="1">
        <f t="array" ref="D38">SUMPRODUCT(ISNUMBER(SEARCH('16 Water Heating Costs'!$E$42:$AE$42,'16 Water Heating Costs'!F24)) *'16 Water Heating Costs'!$E$48:$AE$48)</f>
        <v>1947.2165408298697</v>
      </c>
      <c r="E38" s="143" cm="1">
        <f t="array" ref="E38">SUMPRODUCT(ISNUMBER(SEARCH('16 Water Heating Costs'!$E$42:$AE$42,'16 Water Heating Costs'!G24)) *'16 Water Heating Costs'!$E$48:$AE$48)</f>
        <v>1431.4260979150267</v>
      </c>
      <c r="F38" s="142"/>
      <c r="G38" s="143" cm="1">
        <f t="array" ref="G38">SUMPRODUCT(ISNUMBER(SEARCH('16 Water Heating Costs'!$E$42:$AE$42,'16 Water Heating Costs'!I24)) *'16 Water Heating Costs'!$E$48:$AE$48)</f>
        <v>1431.4260979150267</v>
      </c>
      <c r="H38" s="150" cm="1">
        <f t="array" ref="H38">SUMPRODUCT(ISNUMBER(SEARCH('16 Water Heating Costs'!$E$42:$AE$42,'16 Water Heating Costs'!J24)) *'16 Water Heating Costs'!$E$48:$AE$48)</f>
        <v>1947.2165408298697</v>
      </c>
      <c r="I38"/>
      <c r="J38" s="5"/>
      <c r="K38" s="5"/>
      <c r="L38" s="5"/>
      <c r="M38" s="5"/>
      <c r="N38" s="5"/>
      <c r="O38" s="5"/>
      <c r="P38" s="5"/>
      <c r="Q38" s="1105"/>
      <c r="R38" s="152" t="s">
        <v>86</v>
      </c>
      <c r="S38" s="143" cm="1">
        <f t="array" ref="S38">SUMPRODUCT(ISNUMBER(SEARCH('16 Water Heating Costs'!$E$42:$AE$42,'16 Water Heating Costs'!N24)) *'16 Water Heating Costs'!$E$48:$AE$48)</f>
        <v>2060.1181119986377</v>
      </c>
      <c r="T38" s="143" cm="1">
        <f t="array" ref="T38">SUMPRODUCT(ISNUMBER(SEARCH('16 Water Heating Costs'!$E$42:$AE$42,'16 Water Heating Costs'!O24)) *'16 Water Heating Costs'!$E$48:$AE$48)</f>
        <v>1544.3276690837943</v>
      </c>
      <c r="U38" s="142"/>
      <c r="V38" s="143" cm="1">
        <f t="array" ref="V38">SUMPRODUCT(ISNUMBER(SEARCH('16 Water Heating Costs'!$E$42:$AE$42,'16 Water Heating Costs'!Q24)) *'16 Water Heating Costs'!$E$48:$AE$48)</f>
        <v>1544.3276690837943</v>
      </c>
      <c r="W38" s="150" cm="1">
        <f t="array" ref="W38">SUMPRODUCT(ISNUMBER(SEARCH('16 Water Heating Costs'!$E$42:$AE$42,'16 Water Heating Costs'!R24)) *'16 Water Heating Costs'!$E$48:$AE$48)</f>
        <v>2060.1181119986377</v>
      </c>
      <c r="X38"/>
      <c r="Y38" s="5"/>
      <c r="Z38" s="5"/>
      <c r="AA38" s="5"/>
      <c r="AB38" s="5"/>
      <c r="AC38" s="5"/>
      <c r="AD38" s="5"/>
      <c r="AE38" s="5"/>
      <c r="AF38" s="1119"/>
      <c r="AG38" s="152" t="s">
        <v>86</v>
      </c>
      <c r="AH38" s="143" cm="1">
        <f t="array" ref="AH38">SUMPRODUCT(ISNUMBER(SEARCH('16 Water Heating Costs'!$E$42:$AE$42,'16 Water Heating Costs'!V24)) *'16 Water Heating Costs'!$E$48:$AE$48)</f>
        <v>1804.3782740849288</v>
      </c>
      <c r="AI38" s="143" cm="1">
        <f t="array" ref="AI38">SUMPRODUCT(ISNUMBER(SEARCH('16 Water Heating Costs'!$E$42:$AE$42,'16 Water Heating Costs'!W24)) *'16 Water Heating Costs'!$E$48:$AE$48)</f>
        <v>1288.5878311700858</v>
      </c>
      <c r="AJ38" s="142"/>
      <c r="AK38" s="143" cm="1">
        <f t="array" ref="AK38">SUMPRODUCT(ISNUMBER(SEARCH('16 Water Heating Costs'!$E$42:$AE$42,'16 Water Heating Costs'!Y24)) *'16 Water Heating Costs'!$E$48:$AE$48)</f>
        <v>1288.5878311700858</v>
      </c>
      <c r="AL38" s="150" cm="1">
        <f t="array" ref="AL38">SUMPRODUCT(ISNUMBER(SEARCH('16 Water Heating Costs'!$E$42:$AE$42,'16 Water Heating Costs'!Z24)) *'16 Water Heating Costs'!$E$48:$AE$48)</f>
        <v>1804.3782740849288</v>
      </c>
      <c r="AM38" s="58"/>
    </row>
    <row r="39" spans="1:39" ht="199.9" customHeight="1" x14ac:dyDescent="0.25">
      <c r="B39" s="1105"/>
      <c r="C39" s="152" t="s">
        <v>242</v>
      </c>
      <c r="D39" s="143" cm="1">
        <f t="array" ref="D39">SUMPRODUCT(ISNUMBER(SEARCH('16 Water Heating Costs'!$E$42:$AE$42,'16 Water Heating Costs'!F25)) *'16 Water Heating Costs'!$E$48:$AE$48)</f>
        <v>1947.2165408298697</v>
      </c>
      <c r="E39" s="143" cm="1">
        <f t="array" ref="E39">SUMPRODUCT(ISNUMBER(SEARCH('16 Water Heating Costs'!$E$42:$AE$42,'16 Water Heating Costs'!G25)) *'16 Water Heating Costs'!$E$48:$AE$48)</f>
        <v>1431.4260979150267</v>
      </c>
      <c r="F39" s="143" cm="1">
        <f t="array" ref="F39">SUMPRODUCT(ISNUMBER(SEARCH('16 Water Heating Costs'!$E$42:$AE$42,'16 Water Heating Costs'!H25)) *'16 Water Heating Costs'!$E$48:$AE$48)</f>
        <v>1431.4260979150267</v>
      </c>
      <c r="G39" s="142"/>
      <c r="H39" s="150" cm="1">
        <f t="array" ref="H39">SUMPRODUCT(ISNUMBER(SEARCH('16 Water Heating Costs'!$E$42:$AE$42,'16 Water Heating Costs'!J25)) *'16 Water Heating Costs'!$E$48:$AE$48)</f>
        <v>1947.2165408298697</v>
      </c>
      <c r="I39"/>
      <c r="P39" s="5"/>
      <c r="Q39" s="1105"/>
      <c r="R39" s="152" t="s">
        <v>242</v>
      </c>
      <c r="S39" s="143" cm="1">
        <f t="array" ref="S39">SUMPRODUCT(ISNUMBER(SEARCH('16 Water Heating Costs'!$E$42:$AE$42,'16 Water Heating Costs'!N25)) *'16 Water Heating Costs'!$E$48:$AE$48)</f>
        <v>2060.1181119986377</v>
      </c>
      <c r="T39" s="143" cm="1">
        <f t="array" ref="T39">SUMPRODUCT(ISNUMBER(SEARCH('16 Water Heating Costs'!$E$42:$AE$42,'16 Water Heating Costs'!O25)) *'16 Water Heating Costs'!$E$48:$AE$48)</f>
        <v>1544.3276690837943</v>
      </c>
      <c r="U39" s="143" cm="1">
        <f t="array" ref="U39">SUMPRODUCT(ISNUMBER(SEARCH('16 Water Heating Costs'!$E$42:$AE$42,'16 Water Heating Costs'!P25)) *'16 Water Heating Costs'!$E$48:$AE$48)</f>
        <v>1544.3276690837943</v>
      </c>
      <c r="V39" s="142"/>
      <c r="W39" s="150" cm="1">
        <f t="array" ref="W39">SUMPRODUCT(ISNUMBER(SEARCH('16 Water Heating Costs'!$E$42:$AE$42,'16 Water Heating Costs'!R25)) *'16 Water Heating Costs'!$E$48:$AE$48)</f>
        <v>2060.1181119986377</v>
      </c>
      <c r="X39"/>
      <c r="Y39" s="5"/>
      <c r="Z39" s="5"/>
      <c r="AA39" s="5"/>
      <c r="AB39" s="5"/>
      <c r="AC39" s="5"/>
      <c r="AD39" s="5"/>
      <c r="AE39" s="5"/>
      <c r="AF39" s="1119"/>
      <c r="AG39" s="152" t="s">
        <v>242</v>
      </c>
      <c r="AH39" s="143" cm="1">
        <f t="array" ref="AH39">SUMPRODUCT(ISNUMBER(SEARCH('16 Water Heating Costs'!$E$42:$AE$42,'16 Water Heating Costs'!V25)) *'16 Water Heating Costs'!$E$48:$AE$48)</f>
        <v>1804.3782740849288</v>
      </c>
      <c r="AI39" s="143" cm="1">
        <f t="array" ref="AI39">SUMPRODUCT(ISNUMBER(SEARCH('16 Water Heating Costs'!$E$42:$AE$42,'16 Water Heating Costs'!W25)) *'16 Water Heating Costs'!$E$48:$AE$48)</f>
        <v>1288.5878311700858</v>
      </c>
      <c r="AJ39" s="143" cm="1">
        <f t="array" ref="AJ39">SUMPRODUCT(ISNUMBER(SEARCH('16 Water Heating Costs'!$E$42:$AE$42,'16 Water Heating Costs'!X25)) *'16 Water Heating Costs'!$E$48:$AE$48)</f>
        <v>1288.5878311700858</v>
      </c>
      <c r="AK39" s="142"/>
      <c r="AL39" s="150" cm="1">
        <f t="array" ref="AL39">SUMPRODUCT(ISNUMBER(SEARCH('16 Water Heating Costs'!$E$42:$AE$42,'16 Water Heating Costs'!Z25)) *'16 Water Heating Costs'!$E$48:$AE$48)</f>
        <v>1804.3782740849288</v>
      </c>
      <c r="AM39" s="72"/>
    </row>
    <row r="40" spans="1:39" ht="199.9" customHeight="1" thickBot="1" x14ac:dyDescent="0.3">
      <c r="A40" s="60"/>
      <c r="B40" s="1106"/>
      <c r="C40" s="153" t="s">
        <v>172</v>
      </c>
      <c r="D40" s="354" cm="1">
        <f t="array" ref="D40">SUMPRODUCT(ISNUMBER(SEARCH('16 Water Heating Costs'!$E$42:$AE$42,'16 Water Heating Costs'!F26)) *'16 Water Heating Costs'!$E$48:$AE$48)</f>
        <v>80</v>
      </c>
      <c r="E40" s="354" cm="1">
        <f t="array" ref="E40">SUMPRODUCT(ISNUMBER(SEARCH('16 Water Heating Costs'!$E$42:$AE$42,'16 Water Heating Costs'!G26)) *'16 Water Heating Costs'!$E$48:$AE$48)</f>
        <v>1184.4179022614203</v>
      </c>
      <c r="F40" s="354" cm="1">
        <f t="array" ref="F40">SUMPRODUCT(ISNUMBER(SEARCH('16 Water Heating Costs'!$E$42:$AE$42,'16 Water Heating Costs'!H26)) *'16 Water Heating Costs'!$E$48:$AE$48)</f>
        <v>1184.4179022614203</v>
      </c>
      <c r="G40" s="354" cm="1">
        <f t="array" ref="G40">SUMPRODUCT(ISNUMBER(SEARCH('16 Water Heating Costs'!$E$42:$AE$42,'16 Water Heating Costs'!I26)) *'16 Water Heating Costs'!$E$48:$AE$48)</f>
        <v>1184.4179022614203</v>
      </c>
      <c r="H40" s="426"/>
      <c r="I40"/>
      <c r="P40" s="5"/>
      <c r="Q40" s="1106"/>
      <c r="R40" s="153" t="s">
        <v>172</v>
      </c>
      <c r="S40" s="354" cm="1">
        <f t="array" ref="S40">SUMPRODUCT(ISNUMBER(SEARCH('16 Water Heating Costs'!$E$42:$AE$42,'16 Water Heating Costs'!N26)) *'16 Water Heating Costs'!$E$48:$AE$48)</f>
        <v>80</v>
      </c>
      <c r="T40" s="354" cm="1">
        <f t="array" ref="T40">SUMPRODUCT(ISNUMBER(SEARCH('16 Water Heating Costs'!$E$42:$AE$42,'16 Water Heating Costs'!O26)) *'16 Water Heating Costs'!$E$48:$AE$48)</f>
        <v>1184.4179022614203</v>
      </c>
      <c r="U40" s="354" cm="1">
        <f t="array" ref="U40">SUMPRODUCT(ISNUMBER(SEARCH('16 Water Heating Costs'!$E$42:$AE$42,'16 Water Heating Costs'!P26)) *'16 Water Heating Costs'!$E$48:$AE$48)</f>
        <v>1184.4179022614203</v>
      </c>
      <c r="V40" s="354" cm="1">
        <f t="array" ref="V40">SUMPRODUCT(ISNUMBER(SEARCH('16 Water Heating Costs'!$E$42:$AE$42,'16 Water Heating Costs'!Q26)) *'16 Water Heating Costs'!$E$48:$AE$48)</f>
        <v>1184.4179022614203</v>
      </c>
      <c r="W40" s="426"/>
      <c r="X40"/>
      <c r="Y40" s="5"/>
      <c r="Z40" s="5"/>
      <c r="AA40" s="5"/>
      <c r="AB40" s="5"/>
      <c r="AC40" s="5"/>
      <c r="AD40" s="5"/>
      <c r="AE40" s="5"/>
      <c r="AF40" s="1120"/>
      <c r="AG40" s="153" t="s">
        <v>172</v>
      </c>
      <c r="AH40" s="354" cm="1">
        <f t="array" ref="AH40">SUMPRODUCT(ISNUMBER(SEARCH('16 Water Heating Costs'!$E$42:$AE$42,'16 Water Heating Costs'!V26)) *'16 Water Heating Costs'!$E$48:$AE$48)</f>
        <v>80</v>
      </c>
      <c r="AI40" s="354" cm="1">
        <f t="array" ref="AI40">SUMPRODUCT(ISNUMBER(SEARCH('16 Water Heating Costs'!$E$42:$AE$42,'16 Water Heating Costs'!W26)) *'16 Water Heating Costs'!$E$48:$AE$48)</f>
        <v>1184.4179022614203</v>
      </c>
      <c r="AJ40" s="354" cm="1">
        <f t="array" ref="AJ40">SUMPRODUCT(ISNUMBER(SEARCH('16 Water Heating Costs'!$E$42:$AE$42,'16 Water Heating Costs'!X26)) *'16 Water Heating Costs'!$E$48:$AE$48)</f>
        <v>1184.4179022614203</v>
      </c>
      <c r="AK40" s="354" cm="1">
        <f t="array" ref="AK40">SUMPRODUCT(ISNUMBER(SEARCH('16 Water Heating Costs'!$E$42:$AE$42,'16 Water Heating Costs'!Y26)) *'16 Water Heating Costs'!$E$48:$AE$48)</f>
        <v>1184.4179022614203</v>
      </c>
      <c r="AL40" s="426"/>
      <c r="AM40" s="72"/>
    </row>
    <row r="41" spans="1:39" ht="79.900000000000006" customHeight="1" thickBot="1" x14ac:dyDescent="0.3">
      <c r="A41" s="60"/>
      <c r="B41"/>
      <c r="C41"/>
      <c r="D41"/>
      <c r="E41"/>
      <c r="F41"/>
      <c r="G41"/>
      <c r="H41"/>
      <c r="I41"/>
      <c r="P41" s="5"/>
      <c r="Q41"/>
      <c r="R41"/>
      <c r="S41"/>
      <c r="T41"/>
      <c r="U41"/>
      <c r="V41"/>
      <c r="W41"/>
      <c r="X41"/>
      <c r="Y41" s="5"/>
      <c r="Z41" s="5"/>
      <c r="AA41" s="5"/>
      <c r="AB41" s="5"/>
      <c r="AC41" s="5"/>
      <c r="AD41" s="5"/>
      <c r="AE41" s="5"/>
      <c r="AF41"/>
      <c r="AG41"/>
      <c r="AH41"/>
      <c r="AI41"/>
      <c r="AJ41"/>
      <c r="AK41"/>
      <c r="AL41"/>
    </row>
    <row r="42" spans="1:39" ht="198.75" customHeight="1" x14ac:dyDescent="0.25">
      <c r="A42" s="60"/>
      <c r="B42" s="1107" t="s">
        <v>1629</v>
      </c>
      <c r="C42" s="1108"/>
      <c r="D42" s="1108"/>
      <c r="E42" s="1108"/>
      <c r="F42" s="1108"/>
      <c r="G42" s="1108"/>
      <c r="H42" s="1109"/>
      <c r="I42"/>
      <c r="P42" s="5"/>
      <c r="Q42" s="1107" t="s">
        <v>1630</v>
      </c>
      <c r="R42" s="1108"/>
      <c r="S42" s="1108"/>
      <c r="T42" s="1108"/>
      <c r="U42" s="1108"/>
      <c r="V42" s="1108"/>
      <c r="W42" s="1109"/>
      <c r="X42"/>
      <c r="Y42" s="5"/>
      <c r="Z42" s="5"/>
      <c r="AA42" s="5"/>
      <c r="AB42" s="5"/>
      <c r="AC42" s="5"/>
      <c r="AD42" s="5"/>
      <c r="AE42" s="5"/>
      <c r="AF42" s="1107" t="s">
        <v>1631</v>
      </c>
      <c r="AG42" s="1108"/>
      <c r="AH42" s="1108"/>
      <c r="AI42" s="1108"/>
      <c r="AJ42" s="1108"/>
      <c r="AK42" s="1108"/>
      <c r="AL42" s="1109"/>
      <c r="AM42" s="72"/>
    </row>
    <row r="43" spans="1:39" ht="79.900000000000006" customHeight="1" x14ac:dyDescent="0.25">
      <c r="A43" s="60"/>
      <c r="B43" s="1110" t="s">
        <v>977</v>
      </c>
      <c r="C43" s="1111"/>
      <c r="D43" s="1116" t="s">
        <v>990</v>
      </c>
      <c r="E43" s="1117"/>
      <c r="F43" s="1117"/>
      <c r="G43" s="1117"/>
      <c r="H43" s="1118"/>
      <c r="I43"/>
      <c r="P43" s="5"/>
      <c r="Q43" s="1110" t="s">
        <v>977</v>
      </c>
      <c r="R43" s="1111"/>
      <c r="S43" s="1116" t="s">
        <v>990</v>
      </c>
      <c r="T43" s="1117"/>
      <c r="U43" s="1117"/>
      <c r="V43" s="1117"/>
      <c r="W43" s="1118"/>
      <c r="X43"/>
      <c r="Y43" s="5"/>
      <c r="Z43" s="5"/>
      <c r="AA43" s="5"/>
      <c r="AB43" s="5"/>
      <c r="AC43" s="5"/>
      <c r="AD43" s="5"/>
      <c r="AE43" s="5"/>
      <c r="AF43" s="1110" t="s">
        <v>977</v>
      </c>
      <c r="AG43" s="1111"/>
      <c r="AH43" s="1116" t="s">
        <v>990</v>
      </c>
      <c r="AI43" s="1117"/>
      <c r="AJ43" s="1117"/>
      <c r="AK43" s="1117"/>
      <c r="AL43" s="1118"/>
      <c r="AM43" s="72"/>
    </row>
    <row r="44" spans="1:39" ht="79.900000000000006" customHeight="1" x14ac:dyDescent="0.25">
      <c r="A44" s="60"/>
      <c r="B44" s="1112"/>
      <c r="C44" s="1113"/>
      <c r="D44" s="1121" t="s">
        <v>246</v>
      </c>
      <c r="E44" s="1121" t="s">
        <v>244</v>
      </c>
      <c r="F44" s="1121" t="s">
        <v>86</v>
      </c>
      <c r="G44" s="1121" t="s">
        <v>242</v>
      </c>
      <c r="H44" s="1123" t="s">
        <v>172</v>
      </c>
      <c r="I44"/>
      <c r="P44" s="5"/>
      <c r="Q44" s="1112"/>
      <c r="R44" s="1113"/>
      <c r="S44" s="1121" t="s">
        <v>246</v>
      </c>
      <c r="T44" s="1121" t="s">
        <v>244</v>
      </c>
      <c r="U44" s="1121" t="s">
        <v>86</v>
      </c>
      <c r="V44" s="1121" t="s">
        <v>242</v>
      </c>
      <c r="W44" s="1123" t="s">
        <v>172</v>
      </c>
      <c r="X44"/>
      <c r="Y44" s="5"/>
      <c r="Z44" s="5"/>
      <c r="AA44" s="5"/>
      <c r="AB44" s="5"/>
      <c r="AC44" s="5"/>
      <c r="AD44" s="5"/>
      <c r="AE44" s="5"/>
      <c r="AF44" s="1112"/>
      <c r="AG44" s="1113"/>
      <c r="AH44" s="668" t="s">
        <v>246</v>
      </c>
      <c r="AI44" s="668" t="s">
        <v>244</v>
      </c>
      <c r="AJ44" s="668" t="s">
        <v>86</v>
      </c>
      <c r="AK44" s="668" t="s">
        <v>242</v>
      </c>
      <c r="AL44" s="677" t="s">
        <v>172</v>
      </c>
      <c r="AM44" s="72"/>
    </row>
    <row r="45" spans="1:39" ht="79.900000000000006" customHeight="1" x14ac:dyDescent="0.25">
      <c r="A45" s="60"/>
      <c r="B45" s="1114"/>
      <c r="C45" s="1115"/>
      <c r="D45" s="1122"/>
      <c r="E45" s="1122"/>
      <c r="F45" s="1122"/>
      <c r="G45" s="1122"/>
      <c r="H45" s="1124"/>
      <c r="I45"/>
      <c r="P45" s="5"/>
      <c r="Q45" s="1114"/>
      <c r="R45" s="1115"/>
      <c r="S45" s="1122"/>
      <c r="T45" s="1122"/>
      <c r="U45" s="1122"/>
      <c r="V45" s="1122"/>
      <c r="W45" s="1124"/>
      <c r="X45"/>
      <c r="Y45" s="5"/>
      <c r="Z45" s="5"/>
      <c r="AA45" s="5"/>
      <c r="AB45" s="5"/>
      <c r="AC45" s="5"/>
      <c r="AD45" s="5"/>
      <c r="AE45" s="5"/>
      <c r="AF45" s="1114"/>
      <c r="AG45" s="1115"/>
      <c r="AH45" s="179"/>
      <c r="AI45" s="179"/>
      <c r="AJ45" s="179"/>
      <c r="AK45" s="179"/>
      <c r="AL45" s="180"/>
      <c r="AM45" s="72"/>
    </row>
    <row r="46" spans="1:39" ht="199.9" customHeight="1" x14ac:dyDescent="0.25">
      <c r="B46" s="1104" t="s">
        <v>952</v>
      </c>
      <c r="C46" s="149" t="s">
        <v>246</v>
      </c>
      <c r="D46" s="142"/>
      <c r="E46" s="143" cm="1">
        <f t="array" ref="E46">SUMPRODUCT(ISNUMBER(SEARCH('16 Water Heating Costs'!$E$42:$AE$42,'16 Water Heating Costs'!G33)) *'16 Water Heating Costs'!$E$48:$AE$48)</f>
        <v>1184.4179022614203</v>
      </c>
      <c r="F46" s="143" cm="1">
        <f t="array" ref="F46">SUMPRODUCT(ISNUMBER(SEARCH('16 Water Heating Costs'!$E$42:$AE$42,'16 Water Heating Costs'!H33)) *'16 Water Heating Costs'!$E$48:$AE$48)</f>
        <v>1184.4179022614203</v>
      </c>
      <c r="G46" s="143" cm="1">
        <f t="array" ref="G46">SUMPRODUCT(ISNUMBER(SEARCH('16 Water Heating Costs'!$E$42:$AE$42,'16 Water Heating Costs'!I33)) *'16 Water Heating Costs'!$E$48:$AE$48)</f>
        <v>1184.4179022614203</v>
      </c>
      <c r="H46" s="150" cm="1">
        <f t="array" ref="H46">SUMPRODUCT(ISNUMBER(SEARCH('16 Water Heating Costs'!$E$42:$AE$42,'16 Water Heating Costs'!J33)) *'16 Water Heating Costs'!$E$48:$AE$48)</f>
        <v>923.35029717663917</v>
      </c>
      <c r="I46"/>
      <c r="P46" s="5"/>
      <c r="Q46" s="1104" t="s">
        <v>952</v>
      </c>
      <c r="R46" s="149" t="s">
        <v>246</v>
      </c>
      <c r="S46" s="142"/>
      <c r="T46" s="143" cm="1">
        <f t="array" ref="T46">SUMPRODUCT(ISNUMBER(SEARCH('16 Water Heating Costs'!$E$42:$AE$42,'16 Water Heating Costs'!O33)) *'16 Water Heating Costs'!$E$48:$AE$48)</f>
        <v>1184.4179022614203</v>
      </c>
      <c r="U46" s="143" cm="1">
        <f t="array" ref="U46">SUMPRODUCT(ISNUMBER(SEARCH('16 Water Heating Costs'!$E$42:$AE$42,'16 Water Heating Costs'!P33)) *'16 Water Heating Costs'!$E$48:$AE$48)</f>
        <v>1184.4179022614203</v>
      </c>
      <c r="V46" s="143" cm="1">
        <f t="array" ref="V46">SUMPRODUCT(ISNUMBER(SEARCH('16 Water Heating Costs'!$E$42:$AE$42,'16 Water Heating Costs'!Q33)) *'16 Water Heating Costs'!$E$48:$AE$48)</f>
        <v>1184.4179022614203</v>
      </c>
      <c r="W46" s="150" cm="1">
        <f t="array" ref="W46">SUMPRODUCT(ISNUMBER(SEARCH('16 Water Heating Costs'!$E$42:$AE$42,'16 Water Heating Costs'!R33)) *'16 Water Heating Costs'!$E$48:$AE$48)</f>
        <v>923.35029717663917</v>
      </c>
      <c r="X46"/>
      <c r="Y46" s="5"/>
      <c r="Z46" s="5"/>
      <c r="AA46" s="5"/>
      <c r="AB46" s="5"/>
      <c r="AC46" s="5"/>
      <c r="AD46" s="5"/>
      <c r="AE46" s="5"/>
      <c r="AF46" s="1104" t="s">
        <v>952</v>
      </c>
      <c r="AG46" s="149" t="s">
        <v>246</v>
      </c>
      <c r="AH46" s="142"/>
      <c r="AI46" s="143" cm="1">
        <f t="array" ref="AI46">SUMPRODUCT(ISNUMBER(SEARCH('16 Water Heating Costs'!$E$42:$AE$42,'16 Water Heating Costs'!W33)) *'16 Water Heating Costs'!$E$48:$AE$48)</f>
        <v>1184.4179022614203</v>
      </c>
      <c r="AJ46" s="143" cm="1">
        <f t="array" ref="AJ46">SUMPRODUCT(ISNUMBER(SEARCH('16 Water Heating Costs'!$E$42:$AE$42,'16 Water Heating Costs'!X33)) *'16 Water Heating Costs'!$E$48:$AE$48)</f>
        <v>1184.4179022614203</v>
      </c>
      <c r="AK46" s="143" cm="1">
        <f t="array" ref="AK46">SUMPRODUCT(ISNUMBER(SEARCH('16 Water Heating Costs'!$E$42:$AE$42,'16 Water Heating Costs'!Y33)) *'16 Water Heating Costs'!$E$48:$AE$48)</f>
        <v>1184.4179022614203</v>
      </c>
      <c r="AL46" s="150" cm="1">
        <f t="array" ref="AL46">SUMPRODUCT(ISNUMBER(SEARCH('16 Water Heating Costs'!$E$42:$AE$42,'16 Water Heating Costs'!Z33)) *'16 Water Heating Costs'!$E$48:$AE$48)</f>
        <v>923.35029717663917</v>
      </c>
      <c r="AM46" s="72"/>
    </row>
    <row r="47" spans="1:39" ht="199.9" customHeight="1" x14ac:dyDescent="0.25">
      <c r="B47" s="1105"/>
      <c r="C47" s="152" t="s">
        <v>244</v>
      </c>
      <c r="D47" s="142"/>
      <c r="E47" s="142"/>
      <c r="F47" s="142"/>
      <c r="G47" s="142"/>
      <c r="H47" s="144"/>
      <c r="I47"/>
      <c r="P47" s="5"/>
      <c r="Q47" s="1105"/>
      <c r="R47" s="152" t="s">
        <v>244</v>
      </c>
      <c r="S47" s="142"/>
      <c r="T47" s="142"/>
      <c r="U47" s="142"/>
      <c r="V47" s="142"/>
      <c r="W47" s="144"/>
      <c r="X47"/>
      <c r="Y47" s="5"/>
      <c r="Z47" s="5"/>
      <c r="AA47" s="5"/>
      <c r="AB47" s="5"/>
      <c r="AC47" s="5"/>
      <c r="AD47" s="5"/>
      <c r="AE47" s="5"/>
      <c r="AF47" s="1119"/>
      <c r="AG47" s="152" t="s">
        <v>244</v>
      </c>
      <c r="AH47" s="142"/>
      <c r="AI47" s="142"/>
      <c r="AJ47" s="142"/>
      <c r="AK47" s="142"/>
      <c r="AL47" s="144"/>
      <c r="AM47" s="72"/>
    </row>
    <row r="48" spans="1:39" ht="199.9" customHeight="1" x14ac:dyDescent="0.25">
      <c r="B48" s="1105"/>
      <c r="C48" s="152" t="s">
        <v>86</v>
      </c>
      <c r="D48" s="143" cm="1">
        <f t="array" ref="D48">SUMPRODUCT(ISNUMBER(SEARCH('16 Water Heating Costs'!$E$42:$AE$42,'16 Water Heating Costs'!F35)) *'16 Water Heating Costs'!$E$48:$AE$48)</f>
        <v>3909.6256525434028</v>
      </c>
      <c r="E48" s="143" cm="1">
        <f t="array" ref="E48">SUMPRODUCT(ISNUMBER(SEARCH('16 Water Heating Costs'!$E$42:$AE$42,'16 Water Heating Costs'!G35)) *'16 Water Heating Costs'!$E$48:$AE$48)</f>
        <v>2363.7770092264223</v>
      </c>
      <c r="F48" s="142"/>
      <c r="G48" s="143" cm="1">
        <f t="array" ref="G48">SUMPRODUCT(ISNUMBER(SEARCH('16 Water Heating Costs'!$E$42:$AE$42,'16 Water Heating Costs'!I35)) *'16 Water Heating Costs'!$E$48:$AE$48)</f>
        <v>3393.8352096285589</v>
      </c>
      <c r="H48" s="150" cm="1">
        <f t="array" ref="H48">SUMPRODUCT(ISNUMBER(SEARCH('16 Water Heating Costs'!$E$42:$AE$42,'16 Water Heating Costs'!J35)) *'16 Water Heating Costs'!$E$48:$AE$48)</f>
        <v>3909.6256525434028</v>
      </c>
      <c r="I48"/>
      <c r="P48" s="5"/>
      <c r="Q48" s="1105"/>
      <c r="R48" s="152" t="s">
        <v>86</v>
      </c>
      <c r="S48" s="143" cm="1">
        <f t="array" ref="S48">SUMPRODUCT(ISNUMBER(SEARCH('16 Water Heating Costs'!$E$42:$AE$42,'16 Water Heating Costs'!N35)) *'16 Water Heating Costs'!$E$48:$AE$48)</f>
        <v>4413.1666599561067</v>
      </c>
      <c r="T48" s="143" cm="1">
        <f t="array" ref="T48">SUMPRODUCT(ISNUMBER(SEARCH('16 Water Heating Costs'!$E$42:$AE$42,'16 Water Heating Costs'!O35)) *'16 Water Heating Costs'!$E$48:$AE$48)</f>
        <v>2867.3180166391257</v>
      </c>
      <c r="U48" s="142"/>
      <c r="V48" s="143" cm="1">
        <f t="array" ref="V48">SUMPRODUCT(ISNUMBER(SEARCH('16 Water Heating Costs'!$E$42:$AE$42,'16 Water Heating Costs'!Q35)) *'16 Water Heating Costs'!$E$48:$AE$48)</f>
        <v>3897.3762170412629</v>
      </c>
      <c r="W48" s="150" cm="1">
        <f t="array" ref="W48">SUMPRODUCT(ISNUMBER(SEARCH('16 Water Heating Costs'!$E$42:$AE$42,'16 Water Heating Costs'!R35)) *'16 Water Heating Costs'!$E$48:$AE$48)</f>
        <v>4413.1666599561067</v>
      </c>
      <c r="X48"/>
      <c r="Y48" s="5"/>
      <c r="Z48" s="5"/>
      <c r="AA48" s="5"/>
      <c r="AB48" s="5"/>
      <c r="AC48" s="5"/>
      <c r="AD48" s="5"/>
      <c r="AE48" s="5"/>
      <c r="AF48" s="1119"/>
      <c r="AG48" s="152" t="s">
        <v>86</v>
      </c>
      <c r="AH48" s="143" cm="1">
        <f t="array" ref="AH48">SUMPRODUCT(ISNUMBER(SEARCH('16 Water Heating Costs'!$E$42:$AE$42,'16 Water Heating Costs'!V35)) *'16 Water Heating Costs'!$E$48:$AE$48)</f>
        <v>3272.5669828609657</v>
      </c>
      <c r="AI48" s="143" cm="1">
        <f t="array" ref="AI48">SUMPRODUCT(ISNUMBER(SEARCH('16 Water Heating Costs'!$E$42:$AE$42,'16 Water Heating Costs'!W35)) *'16 Water Heating Costs'!$E$48:$AE$48)</f>
        <v>2867.3180166391257</v>
      </c>
      <c r="AJ48" s="142"/>
      <c r="AK48" s="143" cm="1">
        <f t="array" ref="AK48">SUMPRODUCT(ISNUMBER(SEARCH('16 Water Heating Costs'!$E$42:$AE$42,'16 Water Heating Costs'!Y35)) *'16 Water Heating Costs'!$E$48:$AE$48)</f>
        <v>2756.7765399461223</v>
      </c>
      <c r="AL48" s="150" cm="1">
        <f t="array" ref="AL48">SUMPRODUCT(ISNUMBER(SEARCH('16 Water Heating Costs'!$E$42:$AE$42,'16 Water Heating Costs'!Z35)) *'16 Water Heating Costs'!$E$48:$AE$48)</f>
        <v>3272.5669828609657</v>
      </c>
      <c r="AM48" s="72"/>
    </row>
    <row r="49" spans="2:39" ht="199.9" customHeight="1" x14ac:dyDescent="0.25">
      <c r="B49" s="1105"/>
      <c r="C49" s="152" t="s">
        <v>242</v>
      </c>
      <c r="D49" s="143" cm="1">
        <f t="array" ref="D49">SUMPRODUCT(ISNUMBER(SEARCH('16 Water Heating Costs'!$E$42:$AE$42,'16 Water Heating Costs'!F36)) *'16 Water Heating Costs'!$E$48:$AE$48)</f>
        <v>3909.6256525434028</v>
      </c>
      <c r="E49" s="143" cm="1">
        <f t="array" ref="E49">SUMPRODUCT(ISNUMBER(SEARCH('16 Water Heating Costs'!$E$42:$AE$42,'16 Water Heating Costs'!G36)) *'16 Water Heating Costs'!$E$48:$AE$48)</f>
        <v>3393.8352096285589</v>
      </c>
      <c r="F49" s="143" cm="1">
        <f t="array" ref="F49">SUMPRODUCT(ISNUMBER(SEARCH('16 Water Heating Costs'!$E$42:$AE$42,'16 Water Heating Costs'!H36)) *'16 Water Heating Costs'!$E$48:$AE$48)</f>
        <v>3393.8352096285589</v>
      </c>
      <c r="G49" s="142"/>
      <c r="H49" s="150" cm="1">
        <f t="array" ref="H49">SUMPRODUCT(ISNUMBER(SEARCH('16 Water Heating Costs'!$E$42:$AE$42,'16 Water Heating Costs'!J36)) *'16 Water Heating Costs'!$E$48:$AE$48)</f>
        <v>3909.6256525434028</v>
      </c>
      <c r="I49"/>
      <c r="P49" s="5"/>
      <c r="Q49" s="1105"/>
      <c r="R49" s="152" t="s">
        <v>242</v>
      </c>
      <c r="S49" s="143" cm="1">
        <f t="array" ref="S49">SUMPRODUCT(ISNUMBER(SEARCH('16 Water Heating Costs'!$E$42:$AE$42,'16 Water Heating Costs'!N36)) *'16 Water Heating Costs'!$E$48:$AE$48)</f>
        <v>4413.1666599561067</v>
      </c>
      <c r="T49" s="143" cm="1">
        <f t="array" ref="T49">SUMPRODUCT(ISNUMBER(SEARCH('16 Water Heating Costs'!$E$42:$AE$42,'16 Water Heating Costs'!O36)) *'16 Water Heating Costs'!$E$48:$AE$48)</f>
        <v>3897.3762170412629</v>
      </c>
      <c r="U49" s="143" cm="1">
        <f t="array" ref="U49">SUMPRODUCT(ISNUMBER(SEARCH('16 Water Heating Costs'!$E$42:$AE$42,'16 Water Heating Costs'!P36)) *'16 Water Heating Costs'!$E$48:$AE$48)</f>
        <v>3897.3762170412629</v>
      </c>
      <c r="V49" s="142"/>
      <c r="W49" s="150" cm="1">
        <f t="array" ref="W49">SUMPRODUCT(ISNUMBER(SEARCH('16 Water Heating Costs'!$E$42:$AE$42,'16 Water Heating Costs'!R36)) *'16 Water Heating Costs'!$E$48:$AE$48)</f>
        <v>4413.1666599561067</v>
      </c>
      <c r="X49"/>
      <c r="Y49" s="5"/>
      <c r="Z49" s="5"/>
      <c r="AA49" s="5"/>
      <c r="AB49" s="5"/>
      <c r="AC49" s="5"/>
      <c r="AD49" s="5"/>
      <c r="AE49" s="5"/>
      <c r="AF49" s="1119"/>
      <c r="AG49" s="152" t="s">
        <v>242</v>
      </c>
      <c r="AH49" s="143" cm="1">
        <f t="array" ref="AH49">SUMPRODUCT(ISNUMBER(SEARCH('16 Water Heating Costs'!$E$42:$AE$42,'16 Water Heating Costs'!V36)) *'16 Water Heating Costs'!$E$48:$AE$48)</f>
        <v>3272.5669828609657</v>
      </c>
      <c r="AI49" s="143" cm="1">
        <f t="array" ref="AI49">SUMPRODUCT(ISNUMBER(SEARCH('16 Water Heating Costs'!$E$42:$AE$42,'16 Water Heating Costs'!W36)) *'16 Water Heating Costs'!$E$48:$AE$48)</f>
        <v>2756.7765399461223</v>
      </c>
      <c r="AJ49" s="143" cm="1">
        <f t="array" ref="AJ49">SUMPRODUCT(ISNUMBER(SEARCH('16 Water Heating Costs'!$E$42:$AE$42,'16 Water Heating Costs'!X36)) *'16 Water Heating Costs'!$E$48:$AE$48)</f>
        <v>2756.7765399461223</v>
      </c>
      <c r="AK49" s="142"/>
      <c r="AL49" s="150" cm="1">
        <f t="array" ref="AL49">SUMPRODUCT(ISNUMBER(SEARCH('16 Water Heating Costs'!$E$42:$AE$42,'16 Water Heating Costs'!Z36)) *'16 Water Heating Costs'!$E$48:$AE$48)</f>
        <v>3272.5669828609657</v>
      </c>
      <c r="AM49" s="72"/>
    </row>
    <row r="50" spans="2:39" ht="199.9" customHeight="1" thickBot="1" x14ac:dyDescent="0.3">
      <c r="B50" s="1106"/>
      <c r="C50" s="153" t="s">
        <v>172</v>
      </c>
      <c r="D50" s="145"/>
      <c r="E50" s="145"/>
      <c r="F50" s="145"/>
      <c r="G50" s="145"/>
      <c r="H50" s="426"/>
      <c r="I50"/>
      <c r="P50" s="5"/>
      <c r="Q50" s="1106"/>
      <c r="R50" s="153" t="s">
        <v>172</v>
      </c>
      <c r="S50" s="145"/>
      <c r="T50" s="145"/>
      <c r="U50" s="145"/>
      <c r="V50" s="145"/>
      <c r="W50" s="426"/>
      <c r="X50"/>
      <c r="Y50" s="5"/>
      <c r="Z50" s="5"/>
      <c r="AA50" s="5"/>
      <c r="AB50" s="5"/>
      <c r="AC50" s="5"/>
      <c r="AD50" s="5"/>
      <c r="AE50" s="5"/>
      <c r="AF50" s="1120"/>
      <c r="AG50" s="153" t="s">
        <v>172</v>
      </c>
      <c r="AH50" s="145"/>
      <c r="AI50" s="145"/>
      <c r="AJ50" s="145"/>
      <c r="AK50" s="145"/>
      <c r="AL50" s="426"/>
      <c r="AM50" s="72"/>
    </row>
    <row r="51" spans="2:39" ht="79.900000000000006" customHeight="1" thickBot="1" x14ac:dyDescent="0.3">
      <c r="B51" s="673"/>
      <c r="C51" s="673"/>
      <c r="D51" s="673"/>
      <c r="E51" s="673"/>
      <c r="F51" s="673"/>
      <c r="G51" s="673"/>
      <c r="H51" s="673"/>
      <c r="I51" s="673"/>
      <c r="J51" s="673"/>
      <c r="K51" s="673"/>
      <c r="L51" s="673"/>
      <c r="M51" s="673"/>
      <c r="N51" s="679"/>
      <c r="P51" s="5"/>
      <c r="Q51" s="673"/>
      <c r="R51" s="673"/>
      <c r="S51" s="673"/>
      <c r="T51" s="673"/>
      <c r="U51" s="673"/>
      <c r="V51" s="673"/>
      <c r="W51" s="673"/>
      <c r="X51" s="673"/>
      <c r="Y51" s="673"/>
      <c r="Z51" s="673"/>
      <c r="AA51" s="673"/>
      <c r="AB51" s="673"/>
      <c r="AC51" s="5"/>
      <c r="AD51" s="5"/>
      <c r="AE51" s="5"/>
      <c r="AF51" s="673"/>
      <c r="AG51" s="673"/>
      <c r="AH51" s="673"/>
      <c r="AI51" s="673"/>
      <c r="AJ51" s="673"/>
      <c r="AK51" s="673"/>
      <c r="AL51" s="673"/>
    </row>
    <row r="52" spans="2:39" ht="175.15" customHeight="1" thickBot="1" x14ac:dyDescent="0.3">
      <c r="B52" s="1135" t="s">
        <v>1074</v>
      </c>
      <c r="C52" s="1136"/>
      <c r="D52" s="1136"/>
      <c r="E52" s="1136"/>
      <c r="F52" s="1136"/>
      <c r="G52" s="1137"/>
      <c r="H52" s="364"/>
      <c r="I52" s="131"/>
      <c r="J52" s="146"/>
      <c r="K52" s="146"/>
      <c r="L52" s="146"/>
      <c r="M52" s="146"/>
      <c r="N52" s="156"/>
      <c r="O52" s="72"/>
    </row>
    <row r="53" spans="2:39" ht="79.900000000000006" customHeight="1" thickBot="1" x14ac:dyDescent="0.3">
      <c r="B53" s="1110" t="s">
        <v>226</v>
      </c>
      <c r="C53" s="1111"/>
      <c r="D53" s="1138" t="s">
        <v>282</v>
      </c>
      <c r="E53" s="1138"/>
      <c r="F53" s="1138"/>
      <c r="G53" s="1139"/>
      <c r="H53" s="183"/>
      <c r="I53" s="146"/>
      <c r="J53" s="146"/>
      <c r="K53" s="146"/>
      <c r="L53" s="146"/>
      <c r="M53" s="156"/>
      <c r="N53" s="72"/>
      <c r="O53" s="57"/>
    </row>
    <row r="54" spans="2:39" ht="199.9" customHeight="1" thickBot="1" x14ac:dyDescent="0.3">
      <c r="B54" s="1114"/>
      <c r="C54" s="1115"/>
      <c r="D54" s="147" t="s">
        <v>246</v>
      </c>
      <c r="E54" s="147" t="s">
        <v>594</v>
      </c>
      <c r="F54" s="147" t="s">
        <v>86</v>
      </c>
      <c r="G54" s="148" t="s">
        <v>242</v>
      </c>
      <c r="H54" s="131"/>
      <c r="I54" s="146"/>
      <c r="J54" s="146"/>
      <c r="K54" s="146"/>
      <c r="L54" s="146"/>
      <c r="M54" s="146"/>
      <c r="N54" s="72"/>
      <c r="O54" s="57"/>
    </row>
    <row r="55" spans="2:39" ht="199.9" customHeight="1" thickBot="1" x14ac:dyDescent="0.3">
      <c r="B55" s="1132" t="s">
        <v>227</v>
      </c>
      <c r="C55" s="147" t="s">
        <v>246</v>
      </c>
      <c r="D55" s="142"/>
      <c r="E55" s="143" cm="1">
        <f t="array" ref="E55">SUMPRODUCT(ISNUMBER(SEARCH('18 Clothes Drying Costs'!$D$16:$N$16,'18 Clothes Drying Costs'!G10)) *'18 Clothes Drying Costs'!$D$22:$N$22)</f>
        <v>725.72796185682944</v>
      </c>
      <c r="F55" s="143" cm="1">
        <f t="array" ref="F55">SUMPRODUCT(ISNUMBER(SEARCH('18 Clothes Drying Costs'!$D$16:$M$16,'18 Clothes Drying Costs'!H10)) *'18 Clothes Drying Costs'!$D$22:$M$22)</f>
        <v>1034.6825019441847</v>
      </c>
      <c r="G55" s="150" cm="1">
        <f t="array" ref="G55">SUMPRODUCT(ISNUMBER(SEARCH('18 Clothes Drying Costs'!$D$16:$M$16,'18 Clothes Drying Costs'!I10)) *'18 Clothes Drying Costs'!$D$22:$M$22)</f>
        <v>1034.6825019441847</v>
      </c>
      <c r="H55" s="131"/>
      <c r="I55" s="146"/>
      <c r="J55" s="146"/>
      <c r="K55" s="146"/>
      <c r="L55" s="146"/>
      <c r="M55" s="146"/>
      <c r="N55" s="72"/>
      <c r="O55" s="57"/>
    </row>
    <row r="56" spans="2:39" ht="199.9" customHeight="1" thickBot="1" x14ac:dyDescent="0.3">
      <c r="B56" s="1132"/>
      <c r="C56" s="147" t="s">
        <v>594</v>
      </c>
      <c r="D56" s="143" cm="1">
        <f t="array" ref="D56">SUMPRODUCT(ISNUMBER(SEARCH('18 Clothes Drying Costs'!$D$16:$M$16,'18 Clothes Drying Costs'!F11)) *'18 Clothes Drying Costs'!$D$22:$M$22)</f>
        <v>100</v>
      </c>
      <c r="E56" s="142"/>
      <c r="F56" s="143" cm="1">
        <f t="array" ref="F56">SUMPRODUCT(ISNUMBER(SEARCH('18 Clothes Drying Costs'!$D$16:$M$16,'18 Clothes Drying Costs'!H11)) *'18 Clothes Drying Costs'!$D$22:$M$22)</f>
        <v>1134.6825019441847</v>
      </c>
      <c r="G56" s="150" cm="1">
        <f t="array" ref="G56">SUMPRODUCT(ISNUMBER(SEARCH('18 Clothes Drying Costs'!$D$16:$M$16,'18 Clothes Drying Costs'!I11)) *'18 Clothes Drying Costs'!$D$22:$M$22)</f>
        <v>1184.6825019441847</v>
      </c>
      <c r="H56" s="131"/>
      <c r="I56" s="146"/>
      <c r="J56" s="146"/>
      <c r="K56" s="146"/>
      <c r="L56" s="146"/>
      <c r="M56" s="146"/>
      <c r="N56" s="72"/>
      <c r="O56" s="57"/>
    </row>
    <row r="57" spans="2:39" ht="199.9" customHeight="1" thickBot="1" x14ac:dyDescent="0.3">
      <c r="B57" s="1132"/>
      <c r="C57" s="147" t="s">
        <v>86</v>
      </c>
      <c r="D57" s="143" cm="1">
        <f t="array" ref="D57">SUMPRODUCT(ISNUMBER(SEARCH('18 Clothes Drying Costs'!$D$16:$M$16,'18 Clothes Drying Costs'!F12)) *'18 Clothes Drying Costs'!$D$22:$M$22)</f>
        <v>1032.6391817038814</v>
      </c>
      <c r="E57" s="143" cm="1">
        <f t="array" ref="E57">SUMPRODUCT(ISNUMBER(SEARCH('18 Clothes Drying Costs'!$D$16:$N$16,'18 Clothes Drying Costs'!G12)) *'18 Clothes Drying Costs'!$D$22:$N$22)</f>
        <v>1708.3671435607107</v>
      </c>
      <c r="F57" s="142"/>
      <c r="G57" s="150" cm="1">
        <f t="array" ref="G57">SUMPRODUCT(ISNUMBER(SEARCH('18 Clothes Drying Costs'!$D$16:$M$16,'18 Clothes Drying Costs'!I12)) *'18 Clothes Drying Costs'!$D$22:$M$22)</f>
        <v>1363.5198074278019</v>
      </c>
      <c r="H57" s="131"/>
      <c r="I57" s="146"/>
      <c r="J57" s="146"/>
      <c r="K57" s="146"/>
      <c r="L57" s="146"/>
      <c r="M57" s="146"/>
      <c r="N57" s="58"/>
      <c r="O57" s="57"/>
    </row>
    <row r="58" spans="2:39" ht="199.9" customHeight="1" thickBot="1" x14ac:dyDescent="0.3">
      <c r="B58" s="1133"/>
      <c r="C58" s="137" t="s">
        <v>242</v>
      </c>
      <c r="D58" s="354" cm="1">
        <f t="array" ref="D58">SUMPRODUCT(ISNUMBER(SEARCH('18 Clothes Drying Costs'!$D$16:$M$16,'18 Clothes Drying Costs'!F13)) *'18 Clothes Drying Costs'!$D$22:$M$22)</f>
        <v>1032.6391817038814</v>
      </c>
      <c r="E58" s="354" cm="1">
        <f t="array" ref="E58">SUMPRODUCT(ISNUMBER(SEARCH('18 Clothes Drying Costs'!$D$16:$N$16,'18 Clothes Drying Costs'!G13)) *'18 Clothes Drying Costs'!$D$22:$N$22)</f>
        <v>1758.3671435607107</v>
      </c>
      <c r="F58" s="354" cm="1">
        <f t="array" ref="F58">SUMPRODUCT(ISNUMBER(SEARCH('18 Clothes Drying Costs'!$D$16:$M$16,'18 Clothes Drying Costs'!H13)) *'18 Clothes Drying Costs'!$D$22:$M$22)</f>
        <v>1241.5587247995361</v>
      </c>
      <c r="G58" s="426"/>
      <c r="H58" s="58"/>
      <c r="I58" s="59"/>
      <c r="J58" s="59"/>
      <c r="K58" s="59"/>
      <c r="L58" s="59"/>
      <c r="M58" s="59"/>
      <c r="N58" s="57"/>
      <c r="O58" s="61"/>
      <c r="P58" s="61"/>
      <c r="Q58" s="61"/>
      <c r="R58" s="61"/>
      <c r="S58" s="61"/>
      <c r="T58" s="61"/>
      <c r="U58" s="61"/>
      <c r="V58" s="61"/>
      <c r="W58" s="61"/>
      <c r="X58" s="61"/>
      <c r="Y58" s="61"/>
      <c r="Z58" s="61"/>
      <c r="AA58" s="61"/>
      <c r="AB58" s="61"/>
      <c r="AC58" s="61"/>
      <c r="AD58" s="61"/>
      <c r="AE58" s="61"/>
      <c r="AF58" s="61"/>
      <c r="AG58" s="61"/>
      <c r="AH58" s="61"/>
      <c r="AI58" s="61"/>
      <c r="AJ58" s="61"/>
      <c r="AK58" s="61"/>
      <c r="AL58" s="61"/>
    </row>
    <row r="59" spans="2:39" ht="79.900000000000006" customHeight="1" thickBot="1" x14ac:dyDescent="0.3">
      <c r="B59" s="133"/>
      <c r="C59" s="157"/>
      <c r="D59" s="157"/>
      <c r="E59" s="157"/>
      <c r="F59" s="157"/>
      <c r="G59" s="157"/>
      <c r="H59" s="59"/>
      <c r="I59" s="57"/>
      <c r="J59" s="57"/>
      <c r="K59" s="57"/>
      <c r="L59" s="57"/>
      <c r="M59" s="57"/>
      <c r="N59" s="57"/>
      <c r="O59" s="57"/>
    </row>
    <row r="60" spans="2:39" ht="175.15" customHeight="1" x14ac:dyDescent="0.25">
      <c r="B60" s="1107" t="s">
        <v>546</v>
      </c>
      <c r="C60" s="1108"/>
      <c r="D60" s="1108"/>
      <c r="E60" s="1108"/>
      <c r="F60" s="1109"/>
      <c r="G60" s="365"/>
      <c r="H60" s="72"/>
      <c r="I60" s="57"/>
      <c r="J60" s="57"/>
      <c r="K60" s="57"/>
      <c r="L60" s="57"/>
      <c r="M60" s="57"/>
      <c r="N60" s="57"/>
      <c r="O60" s="57"/>
    </row>
    <row r="61" spans="2:39" ht="79.900000000000006" customHeight="1" x14ac:dyDescent="0.25">
      <c r="B61" s="1140" t="s">
        <v>287</v>
      </c>
      <c r="C61" s="1141"/>
      <c r="D61" s="1138" t="s">
        <v>282</v>
      </c>
      <c r="E61" s="1138"/>
      <c r="F61" s="1139"/>
      <c r="G61" s="151"/>
      <c r="H61" s="57"/>
      <c r="I61" s="57"/>
      <c r="J61" s="57"/>
      <c r="K61" s="57"/>
      <c r="L61" s="57"/>
      <c r="M61" s="57"/>
      <c r="N61" s="57"/>
      <c r="O61" s="57"/>
    </row>
    <row r="62" spans="2:39" ht="199.9" customHeight="1" x14ac:dyDescent="0.25">
      <c r="B62" s="1140"/>
      <c r="C62" s="1141"/>
      <c r="D62" s="147" t="s">
        <v>246</v>
      </c>
      <c r="E62" s="147" t="s">
        <v>242</v>
      </c>
      <c r="F62" s="148" t="s">
        <v>86</v>
      </c>
      <c r="G62" s="72"/>
      <c r="H62" s="57"/>
      <c r="I62" s="57"/>
      <c r="J62" s="57"/>
      <c r="K62" s="57"/>
      <c r="L62" s="57"/>
      <c r="M62" s="57"/>
      <c r="N62" s="57"/>
      <c r="O62" s="57"/>
    </row>
    <row r="63" spans="2:39" ht="199.9" customHeight="1" x14ac:dyDescent="0.25">
      <c r="B63" s="1132" t="s">
        <v>227</v>
      </c>
      <c r="C63" s="147" t="s">
        <v>246</v>
      </c>
      <c r="D63" s="142"/>
      <c r="E63" s="143" cm="1">
        <f t="array" ref="E63">SUMPRODUCT(ISNUMBER(SEARCH('17 Cooking Costs'!$E$18:$J$18, '17 Cooking Costs'!H12)) *'17 Cooking Costs'!$E$24:$J$24)</f>
        <v>971.78982989318638</v>
      </c>
      <c r="F63" s="150" cm="1">
        <f t="array" ref="F63">SUMPRODUCT(ISNUMBER(SEARCH('17 Cooking Costs'!$E$18:$J$18, '17 Cooking Costs'!I12)) *'17 Cooking Costs'!$E$24:$J$24)</f>
        <v>971.78982989318638</v>
      </c>
      <c r="G63" s="72"/>
      <c r="H63" s="57"/>
      <c r="I63" s="57"/>
      <c r="J63" s="57"/>
      <c r="K63" s="57"/>
      <c r="L63" s="57"/>
      <c r="M63" s="57"/>
      <c r="N63" s="57"/>
      <c r="O63" s="57"/>
    </row>
    <row r="64" spans="2:39" ht="199.9" customHeight="1" x14ac:dyDescent="0.25">
      <c r="B64" s="1132"/>
      <c r="C64" s="147" t="s">
        <v>242</v>
      </c>
      <c r="D64" s="143" cm="1">
        <f t="array" ref="D64">SUMPRODUCT(ISNUMBER(SEARCH('17 Cooking Costs'!$E$18:$J$18, '17 Cooking Costs'!G13)) *'17 Cooking Costs'!$E$24:$J$24)</f>
        <v>1032.6391817038814</v>
      </c>
      <c r="E64" s="142"/>
      <c r="F64" s="150" cm="1">
        <f t="array" ref="F64">SUMPRODUCT(ISNUMBER(SEARCH('17 Cooking Costs'!$E$18:$J$18, '17 Cooking Costs'!I13)) *'17 Cooking Costs'!$E$24:$J$24)</f>
        <v>1233.6105516746773</v>
      </c>
      <c r="G64" s="72"/>
      <c r="H64" s="57"/>
      <c r="I64" s="57"/>
      <c r="J64" s="57"/>
      <c r="K64" s="57"/>
      <c r="L64" s="57"/>
      <c r="M64" s="57"/>
      <c r="N64" s="57"/>
      <c r="O64" s="57"/>
    </row>
    <row r="65" spans="2:15" ht="199.9" customHeight="1" thickBot="1" x14ac:dyDescent="0.3">
      <c r="B65" s="1133"/>
      <c r="C65" s="137" t="s">
        <v>86</v>
      </c>
      <c r="D65" s="354" cm="1">
        <f t="array" ref="D65">SUMPRODUCT(ISNUMBER(SEARCH('17 Cooking Costs'!$E$18:$J$18, '17 Cooking Costs'!G14)) *'17 Cooking Costs'!$E$24:$J$24)</f>
        <v>1032.6391817038814</v>
      </c>
      <c r="E65" s="354" cm="1">
        <f t="array" ref="E65">SUMPRODUCT(ISNUMBER(SEARCH('17 Cooking Costs'!$E$18:$J$18, '17 Cooking Costs'!H14)) *'17 Cooking Costs'!$E$24:$J$24)</f>
        <v>1233.6105516746773</v>
      </c>
      <c r="F65" s="426"/>
      <c r="G65" s="72"/>
      <c r="H65" s="57"/>
      <c r="I65" s="57"/>
      <c r="J65" s="57"/>
      <c r="K65" s="57"/>
      <c r="L65" s="57"/>
      <c r="M65" s="57"/>
      <c r="N65" s="57"/>
      <c r="O65" s="57"/>
    </row>
    <row r="66" spans="2:15" x14ac:dyDescent="0.25">
      <c r="B66" s="151"/>
      <c r="C66" s="59"/>
      <c r="D66" s="59"/>
      <c r="E66" s="59"/>
      <c r="F66" s="59"/>
      <c r="G66" s="59"/>
      <c r="H66" s="57"/>
      <c r="I66" s="57"/>
      <c r="J66" s="57"/>
      <c r="K66" s="57"/>
      <c r="L66" s="57"/>
      <c r="M66" s="57"/>
      <c r="N66" s="57"/>
      <c r="O66" s="57"/>
    </row>
    <row r="67" spans="2:15" x14ac:dyDescent="0.25">
      <c r="C67" s="57"/>
      <c r="D67" s="57"/>
      <c r="E67" s="57"/>
      <c r="F67" s="57"/>
      <c r="G67" s="57"/>
      <c r="H67" s="57"/>
      <c r="I67" s="57"/>
      <c r="J67" s="57"/>
      <c r="K67" s="57"/>
      <c r="L67" s="57"/>
      <c r="M67" s="57"/>
      <c r="N67" s="57"/>
      <c r="O67" s="57"/>
    </row>
    <row r="68" spans="2:15" x14ac:dyDescent="0.25">
      <c r="C68" s="57"/>
      <c r="D68" s="57"/>
      <c r="E68" s="57"/>
      <c r="F68" s="57"/>
      <c r="G68" s="57"/>
      <c r="H68" s="57"/>
      <c r="I68" s="57"/>
      <c r="J68" s="57"/>
      <c r="K68" s="57"/>
      <c r="L68" s="57"/>
      <c r="M68" s="57"/>
      <c r="N68" s="57"/>
      <c r="O68" s="57"/>
    </row>
    <row r="69" spans="2:15" x14ac:dyDescent="0.25">
      <c r="C69" s="57"/>
      <c r="D69" s="57"/>
      <c r="E69" s="57"/>
      <c r="F69" s="57"/>
      <c r="G69" s="57"/>
      <c r="H69" s="57"/>
      <c r="I69" s="57"/>
      <c r="J69" s="57"/>
      <c r="K69" s="57"/>
      <c r="L69" s="57"/>
      <c r="M69" s="57"/>
      <c r="N69" s="57"/>
      <c r="O69" s="57"/>
    </row>
    <row r="70" spans="2:15" x14ac:dyDescent="0.25">
      <c r="C70" s="57"/>
      <c r="D70" s="57"/>
      <c r="E70" s="57"/>
      <c r="F70" s="57"/>
      <c r="G70" s="57"/>
      <c r="H70" s="57"/>
      <c r="I70" s="57"/>
      <c r="J70" s="57"/>
      <c r="K70" s="57"/>
      <c r="L70" s="57"/>
      <c r="M70" s="57"/>
      <c r="N70" s="57"/>
      <c r="O70" s="57"/>
    </row>
    <row r="71" spans="2:15" x14ac:dyDescent="0.25">
      <c r="C71" s="57"/>
      <c r="D71" s="57"/>
      <c r="E71" s="57"/>
      <c r="F71" s="57"/>
      <c r="G71" s="57"/>
      <c r="H71" s="57"/>
      <c r="I71" s="57"/>
      <c r="J71" s="57"/>
      <c r="K71" s="57"/>
      <c r="L71" s="57"/>
      <c r="M71" s="57"/>
      <c r="N71" s="57"/>
      <c r="O71" s="57"/>
    </row>
    <row r="72" spans="2:15" x14ac:dyDescent="0.25">
      <c r="C72" s="57"/>
      <c r="D72" s="57"/>
      <c r="E72" s="57"/>
      <c r="F72" s="57"/>
      <c r="G72" s="57"/>
      <c r="H72" s="57"/>
      <c r="I72" s="57"/>
      <c r="J72" s="57"/>
      <c r="K72" s="57"/>
      <c r="L72" s="57"/>
      <c r="M72" s="57"/>
      <c r="N72" s="57"/>
      <c r="O72" s="57"/>
    </row>
    <row r="73" spans="2:15" x14ac:dyDescent="0.25">
      <c r="C73" s="57"/>
      <c r="D73" s="57"/>
      <c r="E73" s="57"/>
      <c r="F73" s="57"/>
      <c r="G73" s="57"/>
      <c r="H73" s="57"/>
      <c r="I73" s="57"/>
      <c r="J73" s="57"/>
      <c r="K73" s="57"/>
      <c r="L73" s="57"/>
      <c r="M73" s="57"/>
      <c r="N73" s="57"/>
      <c r="O73" s="57"/>
    </row>
  </sheetData>
  <mergeCells count="88">
    <mergeCell ref="B63:B65"/>
    <mergeCell ref="B52:G52"/>
    <mergeCell ref="B53:C54"/>
    <mergeCell ref="D53:G53"/>
    <mergeCell ref="B55:B58"/>
    <mergeCell ref="B60:F60"/>
    <mergeCell ref="B61:C62"/>
    <mergeCell ref="D61:F61"/>
    <mergeCell ref="AH7:AS7"/>
    <mergeCell ref="B9:B20"/>
    <mergeCell ref="Q9:Q20"/>
    <mergeCell ref="AF9:AF20"/>
    <mergeCell ref="B7:C8"/>
    <mergeCell ref="D7:O7"/>
    <mergeCell ref="Q7:R8"/>
    <mergeCell ref="S7:AD7"/>
    <mergeCell ref="AF7:AG8"/>
    <mergeCell ref="L1:L3"/>
    <mergeCell ref="C5:O5"/>
    <mergeCell ref="B6:O6"/>
    <mergeCell ref="Q6:AD6"/>
    <mergeCell ref="AF6:AS6"/>
    <mergeCell ref="B22:H22"/>
    <mergeCell ref="Q22:W22"/>
    <mergeCell ref="AF22:AL22"/>
    <mergeCell ref="D23:H23"/>
    <mergeCell ref="S23:W23"/>
    <mergeCell ref="AH23:AL23"/>
    <mergeCell ref="B23:C25"/>
    <mergeCell ref="Q23:R25"/>
    <mergeCell ref="AF23:AG25"/>
    <mergeCell ref="T24:T25"/>
    <mergeCell ref="U24:U25"/>
    <mergeCell ref="V24:V25"/>
    <mergeCell ref="W24:W25"/>
    <mergeCell ref="B32:H32"/>
    <mergeCell ref="Q32:W32"/>
    <mergeCell ref="AF32:AL32"/>
    <mergeCell ref="D24:D25"/>
    <mergeCell ref="E24:E25"/>
    <mergeCell ref="F24:F25"/>
    <mergeCell ref="G24:G25"/>
    <mergeCell ref="H24:H25"/>
    <mergeCell ref="S24:S25"/>
    <mergeCell ref="B26:B30"/>
    <mergeCell ref="Q26:Q30"/>
    <mergeCell ref="AF26:AF30"/>
    <mergeCell ref="B33:C35"/>
    <mergeCell ref="D33:H33"/>
    <mergeCell ref="Q33:R35"/>
    <mergeCell ref="S33:W33"/>
    <mergeCell ref="AF33:AG35"/>
    <mergeCell ref="AH33:AL33"/>
    <mergeCell ref="D34:D35"/>
    <mergeCell ref="E34:E35"/>
    <mergeCell ref="F34:F35"/>
    <mergeCell ref="G34:G35"/>
    <mergeCell ref="H34:H35"/>
    <mergeCell ref="S34:S35"/>
    <mergeCell ref="T34:T35"/>
    <mergeCell ref="U34:U35"/>
    <mergeCell ref="V34:V35"/>
    <mergeCell ref="W34:W35"/>
    <mergeCell ref="Q43:R45"/>
    <mergeCell ref="S43:W43"/>
    <mergeCell ref="AF43:AG45"/>
    <mergeCell ref="B36:B40"/>
    <mergeCell ref="Q36:Q40"/>
    <mergeCell ref="AF36:AF40"/>
    <mergeCell ref="B42:H42"/>
    <mergeCell ref="Q42:W42"/>
    <mergeCell ref="AF42:AL42"/>
    <mergeCell ref="B46:B50"/>
    <mergeCell ref="Q46:Q50"/>
    <mergeCell ref="AF46:AF50"/>
    <mergeCell ref="AH43:AL43"/>
    <mergeCell ref="D44:D45"/>
    <mergeCell ref="E44:E45"/>
    <mergeCell ref="F44:F45"/>
    <mergeCell ref="G44:G45"/>
    <mergeCell ref="H44:H45"/>
    <mergeCell ref="S44:S45"/>
    <mergeCell ref="T44:T45"/>
    <mergeCell ref="U44:U45"/>
    <mergeCell ref="V44:V45"/>
    <mergeCell ref="W44:W45"/>
    <mergeCell ref="B43:C45"/>
    <mergeCell ref="D43:H4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4F413-F53E-4566-A881-A60B5146EB7F}">
  <sheetPr>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26.1"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1177</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Costs'!$C$14:$AW$14)</f>
        <v>4763.4507860592312</v>
      </c>
      <c r="G10" s="140" cm="1">
        <f t="array" ref="G10">SUMPRODUCT(ISNUMBER( SEARCH('13 Space Heating Costs'!$C$7:$AW$7,'12 Space Heating Subcomponents'!I12)) *'13 Space Heating Costs'!$C$14:$AW$14)</f>
        <v>6311.4155391431168</v>
      </c>
      <c r="H10" s="140" cm="1">
        <f t="array" ref="H10">SUMPRODUCT(ISNUMBER( SEARCH('13 Space Heating Costs'!$C$7:$AW$7,'12 Space Heating Subcomponents'!J12)) *'13 Space Heating Costs'!$C$14:$AW$14)</f>
        <v>8232.2966958020988</v>
      </c>
      <c r="I10" s="140" cm="1">
        <f t="array" ref="I10">SUMPRODUCT(ISNUMBER( SEARCH('13 Space Heating Costs'!$C$7:$AW$7,'12 Space Heating Subcomponents'!K12)) *'13 Space Heating Costs'!$C$14:$AW$14)</f>
        <v>3928.0306124761546</v>
      </c>
      <c r="J10" s="140" cm="1">
        <f t="array" ref="J10">SUMPRODUCT(ISNUMBER( SEARCH('13 Space Heating Costs'!$C$7:$AW$7,'12 Space Heating Subcomponents'!L12)) *'13 Space Heating Costs'!$C$14:$AW$14)</f>
        <v>7345.6530247081164</v>
      </c>
      <c r="K10" s="140" cm="1">
        <f t="array" ref="K10">SUMPRODUCT(ISNUMBER( SEARCH('13 Space Heating Costs'!$C$7:$AW$7,'12 Space Heating Subcomponents'!M12)) *'13 Space Heating Costs'!$C$14:$AW$14)</f>
        <v>4491.4890850961237</v>
      </c>
      <c r="L10" s="140" cm="1">
        <f t="array" ref="L10">SUMPRODUCT(ISNUMBER( SEARCH('13 Space Heating Costs'!$C$7:$AW$7,'12 Space Heating Subcomponents'!N12)) *'13 Space Heating Costs'!$C$14:$AW$14)</f>
        <v>8089.0340323351429</v>
      </c>
      <c r="M10" s="140" cm="1">
        <f t="array" ref="M10">SUMPRODUCT(ISNUMBER( SEARCH('13 Space Heating Costs'!$C$7:$AW$7,'12 Space Heating Subcomponents'!O12)) *'13 Space Heating Costs'!$C$14:$AW$14)</f>
        <v>4491.4890850961237</v>
      </c>
      <c r="N10" s="140" cm="1">
        <f t="array" ref="N10">SUMPRODUCT(ISNUMBER( SEARCH('13 Space Heating Costs'!$C$7:$AW$7,'12 Space Heating Subcomponents'!P12)) *'13 Space Heating Costs'!$C$14:$AW$14)</f>
        <v>4404.8863034828883</v>
      </c>
      <c r="O10" s="402" cm="1">
        <f t="array" ref="O10">SUMPRODUCT(ISNUMBER( SEARCH('13 Space Heating Costs'!$C$7:$AW$7,'12 Space Heating Subcomponents'!Q12)) *'13 Space Heating Costs'!$C$14:$AW$14)</f>
        <v>10265.39238282977</v>
      </c>
      <c r="P10" s="72"/>
      <c r="Q10" s="1105"/>
      <c r="R10" s="181" t="s">
        <v>242</v>
      </c>
      <c r="S10" s="181" t="s">
        <v>243</v>
      </c>
      <c r="T10" s="139"/>
      <c r="U10" s="140" cm="1">
        <f t="array" ref="U10">SUMPRODUCT(ISNUMBER( SEARCH('13 Space Heating Costs'!$C$7:$AW$7,'12 Space Heating Subcomponents'!H28)) *'13 Space Heating Costs'!$C$14:$AW$14)</f>
        <v>5328.3959276259247</v>
      </c>
      <c r="V10" s="140" cm="1">
        <f t="array" ref="V10">SUMPRODUCT(ISNUMBER( SEARCH('13 Space Heating Costs'!$C$7:$AW$7,'12 Space Heating Subcomponents'!I28)) *'13 Space Heating Costs'!$C$14:$AW$14)</f>
        <v>6876.3606807098095</v>
      </c>
      <c r="W10" s="140" cm="1">
        <f t="array" ref="W10">SUMPRODUCT(ISNUMBER( SEARCH('13 Space Heating Costs'!$C$7:$AW$7,'12 Space Heating Subcomponents'!J28)) *'13 Space Heating Costs'!$C$14:$AW$14)</f>
        <v>8797.2418373687924</v>
      </c>
      <c r="X10" s="140" cm="1">
        <f t="array" ref="X10">SUMPRODUCT(ISNUMBER( SEARCH('13 Space Heating Costs'!$C$7:$AW$7,'12 Space Heating Subcomponents'!K28)) *'13 Space Heating Costs'!$C$14:$AW$14)</f>
        <v>4492.9757540428473</v>
      </c>
      <c r="Y10" s="140" cm="1">
        <f t="array" ref="Y10">SUMPRODUCT(ISNUMBER( SEARCH('13 Space Heating Costs'!$C$7:$AW$7,'12 Space Heating Subcomponents'!L28)) *'13 Space Heating Costs'!$C$14:$AW$14)</f>
        <v>7910.598166274809</v>
      </c>
      <c r="Z10" s="140" cm="1">
        <f t="array" ref="Z10">SUMPRODUCT(ISNUMBER( SEARCH('13 Space Heating Costs'!$C$7:$AW$7,'12 Space Heating Subcomponents'!M28)) *'13 Space Heating Costs'!$C$14:$AW$14)</f>
        <v>5056.4342266628155</v>
      </c>
      <c r="AA10" s="140" cm="1">
        <f t="array" ref="AA10">SUMPRODUCT(ISNUMBER( SEARCH('13 Space Heating Costs'!$C$7:$AW$7,'12 Space Heating Subcomponents'!N28)) *'13 Space Heating Costs'!$C$14:$AW$14)</f>
        <v>8653.9791739018365</v>
      </c>
      <c r="AB10" s="140" cm="1">
        <f t="array" ref="AB10">SUMPRODUCT(ISNUMBER( SEARCH('13 Space Heating Costs'!$C$7:$AW$7,'12 Space Heating Subcomponents'!O28)) *'13 Space Heating Costs'!$C$14:$AW$14)</f>
        <v>5056.4342266628155</v>
      </c>
      <c r="AC10" s="140" cm="1">
        <f t="array" ref="AC10">SUMPRODUCT(ISNUMBER( SEARCH('13 Space Heating Costs'!$C$7:$AW$7,'12 Space Heating Subcomponents'!P28)) *'13 Space Heating Costs'!$C$14:$AW$14)</f>
        <v>4969.8314450495809</v>
      </c>
      <c r="AD10" s="402" cm="1">
        <f t="array" ref="AD10">SUMPRODUCT(ISNUMBER( SEARCH('13 Space Heating Costs'!$C$7:$AW$7,'12 Space Heating Subcomponents'!Q28)) *'13 Space Heating Costs'!$C$14:$AW$14)</f>
        <v>10830.337524396462</v>
      </c>
      <c r="AE10" s="72"/>
      <c r="AF10" s="1105"/>
      <c r="AG10" s="181" t="s">
        <v>242</v>
      </c>
      <c r="AH10" s="181" t="s">
        <v>243</v>
      </c>
      <c r="AI10" s="139"/>
      <c r="AJ10" s="140" cm="1">
        <f t="array" ref="AJ10">SUMPRODUCT(ISNUMBER( SEARCH('13 Space Heating Costs'!$C$7:$AW$7,'12 Space Heating Subcomponents'!H44)) *'13 Space Heating Costs'!$C$14:$AW$14)</f>
        <v>3943.1802992872563</v>
      </c>
      <c r="AK10" s="140" cm="1">
        <f t="array" ref="AK10">SUMPRODUCT(ISNUMBER( SEARCH('13 Space Heating Costs'!$C$7:$AW$7,'12 Space Heating Subcomponents'!I44)) *'13 Space Heating Costs'!$C$14:$AW$14)</f>
        <v>5491.1450523711419</v>
      </c>
      <c r="AL10" s="140" cm="1">
        <f t="array" ref="AL10">SUMPRODUCT(ISNUMBER( SEARCH('13 Space Heating Costs'!$C$7:$AW$7,'12 Space Heating Subcomponents'!J44)) *'13 Space Heating Costs'!$C$14:$AW$14)</f>
        <v>7412.0262090301248</v>
      </c>
      <c r="AM10" s="140" cm="1">
        <f t="array" ref="AM10">SUMPRODUCT(ISNUMBER( SEARCH('13 Space Heating Costs'!$C$7:$AW$7,'12 Space Heating Subcomponents'!K44)) *'13 Space Heating Costs'!$C$14:$AW$14)</f>
        <v>3107.7601257041797</v>
      </c>
      <c r="AN10" s="140" cm="1">
        <f t="array" ref="AN10">SUMPRODUCT(ISNUMBER( SEARCH('13 Space Heating Costs'!$C$7:$AW$7,'12 Space Heating Subcomponents'!L44)) *'13 Space Heating Costs'!$C$14:$AW$14)</f>
        <v>6525.3825379361415</v>
      </c>
      <c r="AO10" s="140" cm="1">
        <f t="array" ref="AO10">SUMPRODUCT(ISNUMBER( SEARCH('13 Space Heating Costs'!$C$7:$AW$7,'12 Space Heating Subcomponents'!M44)) *'13 Space Heating Costs'!$C$14:$AW$14)</f>
        <v>3671.2185983241479</v>
      </c>
      <c r="AP10" s="140" cm="1">
        <f t="array" ref="AP10">SUMPRODUCT(ISNUMBER( SEARCH('13 Space Heating Costs'!$C$7:$AW$7,'12 Space Heating Subcomponents'!N44)) *'13 Space Heating Costs'!$C$14:$AW$14)</f>
        <v>7268.763545563168</v>
      </c>
      <c r="AQ10" s="140" cm="1">
        <f t="array" ref="AQ10">SUMPRODUCT(ISNUMBER( SEARCH('13 Space Heating Costs'!$C$7:$AW$7,'12 Space Heating Subcomponents'!O44)) *'13 Space Heating Costs'!$C$14:$AW$14)</f>
        <v>3671.2185983241479</v>
      </c>
      <c r="AR10" s="140" cm="1">
        <f t="array" ref="AR10">SUMPRODUCT(ISNUMBER( SEARCH('13 Space Heating Costs'!$C$7:$AW$7,'12 Space Heating Subcomponents'!P44)) *'13 Space Heating Costs'!$C$14:$AW$14)</f>
        <v>3584.6158167109134</v>
      </c>
      <c r="AS10" s="402" cm="1">
        <f t="array" ref="AS10">SUMPRODUCT(ISNUMBER( SEARCH('13 Space Heating Costs'!$C$7:$AW$7,'12 Space Heating Subcomponents'!Q44)) *'13 Space Heating Costs'!$C$14:$AW$14)</f>
        <v>9445.1218960577953</v>
      </c>
      <c r="AT10" s="72"/>
    </row>
    <row r="11" spans="1:46" ht="200.1" customHeight="1" x14ac:dyDescent="0.25">
      <c r="A11" s="60"/>
      <c r="B11" s="1105"/>
      <c r="C11" s="182" t="s">
        <v>244</v>
      </c>
      <c r="D11" s="182" t="s">
        <v>243</v>
      </c>
      <c r="E11" s="139"/>
      <c r="F11" s="139"/>
      <c r="G11" s="139"/>
      <c r="H11" s="139"/>
      <c r="I11" s="139"/>
      <c r="J11" s="139"/>
      <c r="K11" s="139"/>
      <c r="L11" s="139"/>
      <c r="M11" s="139"/>
      <c r="N11" s="139"/>
      <c r="O11" s="141"/>
      <c r="P11" s="72"/>
      <c r="Q11" s="1105"/>
      <c r="R11" s="182" t="s">
        <v>244</v>
      </c>
      <c r="S11" s="182" t="s">
        <v>243</v>
      </c>
      <c r="T11" s="139"/>
      <c r="U11" s="139"/>
      <c r="V11" s="139"/>
      <c r="W11" s="139"/>
      <c r="X11" s="139"/>
      <c r="Y11" s="139"/>
      <c r="Z11" s="139"/>
      <c r="AA11" s="139"/>
      <c r="AB11" s="139"/>
      <c r="AC11" s="139"/>
      <c r="AD11" s="141"/>
      <c r="AE11" s="72"/>
      <c r="AF11" s="1105"/>
      <c r="AG11" s="182" t="s">
        <v>244</v>
      </c>
      <c r="AH11" s="182" t="s">
        <v>243</v>
      </c>
      <c r="AI11" s="139"/>
      <c r="AJ11" s="139"/>
      <c r="AK11" s="139"/>
      <c r="AL11" s="139"/>
      <c r="AM11" s="139"/>
      <c r="AN11" s="139"/>
      <c r="AO11" s="139"/>
      <c r="AP11" s="139"/>
      <c r="AQ11" s="139"/>
      <c r="AR11" s="139"/>
      <c r="AS11" s="141"/>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Costs'!$C$14:$AW$14)</f>
        <v>9796.7264153642791</v>
      </c>
      <c r="F12" s="140" cm="1">
        <f t="array" ref="F12">SUMPRODUCT(ISNUMBER( SEARCH('13 Space Heating Costs'!$C$7:$AW$7,'12 Space Heating Subcomponents'!H14)) *'13 Space Heating Costs'!$C$14:$AW$14)</f>
        <v>11710.777772355141</v>
      </c>
      <c r="G12" s="139"/>
      <c r="H12" s="140" cm="1">
        <f t="array" ref="H12">SUMPRODUCT(ISNUMBER( SEARCH('13 Space Heating Costs'!$C$7:$AW$7,'12 Space Heating Subcomponents'!J14)) *'13 Space Heating Costs'!$C$14:$AW$14)</f>
        <v>4110.1269265575502</v>
      </c>
      <c r="I12" s="140" cm="1">
        <f t="array" ref="I12">SUMPRODUCT(ISNUMBER( SEARCH('13 Space Heating Costs'!$C$7:$AW$7,'12 Space Heating Subcomponents'!K14)) *'13 Space Heating Costs'!$C$14:$AW$14)</f>
        <v>9914.8335168381582</v>
      </c>
      <c r="J12" s="140" cm="1">
        <f t="array" ref="J12">SUMPRODUCT(ISNUMBER( SEARCH('13 Space Heating Costs'!$C$7:$AW$7,'12 Space Heating Subcomponents'!L14)) *'13 Space Heating Costs'!$C$14:$AW$14)</f>
        <v>9863.6100193272523</v>
      </c>
      <c r="K12" s="140" cm="1">
        <f t="array" ref="K12">SUMPRODUCT(ISNUMBER( SEARCH('13 Space Heating Costs'!$C$7:$AW$7,'12 Space Heating Subcomponents'!M14)) *'13 Space Heating Costs'!$C$14:$AW$14)</f>
        <v>11438.816071392033</v>
      </c>
      <c r="L12" s="140" cm="1">
        <f t="array" ref="L12">SUMPRODUCT(ISNUMBER( SEARCH('13 Space Heating Costs'!$C$7:$AW$7,'12 Space Heating Subcomponents'!N14)) *'13 Space Heating Costs'!$C$14:$AW$14)</f>
        <v>10606.991026954278</v>
      </c>
      <c r="M12" s="140" cm="1">
        <f t="array" ref="M12">SUMPRODUCT(ISNUMBER( SEARCH('13 Space Heating Costs'!$C$7:$AW$7,'12 Space Heating Subcomponents'!O14)) *'13 Space Heating Costs'!$C$14:$AW$14)</f>
        <v>11438.816071392033</v>
      </c>
      <c r="N12" s="140" cm="1">
        <f t="array" ref="N12">SUMPRODUCT(ISNUMBER( SEARCH('13 Space Heating Costs'!$C$7:$AW$7,'12 Space Heating Subcomponents'!P14)) *'13 Space Heating Costs'!$C$14:$AW$14)</f>
        <v>11352.213289778798</v>
      </c>
      <c r="O12" s="402" cm="1">
        <f t="array" ref="O12">SUMPRODUCT(ISNUMBER( SEARCH('13 Space Heating Costs'!$C$7:$AW$7,'12 Space Heating Subcomponents'!Q14)) *'13 Space Heating Costs'!$C$14:$AW$14)</f>
        <v>16252.195287191773</v>
      </c>
      <c r="P12" s="72"/>
      <c r="Q12" s="1105"/>
      <c r="R12" s="181" t="s">
        <v>242</v>
      </c>
      <c r="S12" s="181" t="s">
        <v>245</v>
      </c>
      <c r="T12" s="140" cm="1">
        <f t="array" ref="T12">SUMPRODUCT(ISNUMBER( SEARCH('13 Space Heating Costs'!$C$7:$AW$7,'12 Space Heating Subcomponents'!G30)) *'13 Space Heating Costs'!$C$14:$AW$14)</f>
        <v>10239.995416432652</v>
      </c>
      <c r="U12" s="140" cm="1">
        <f t="array" ref="U12">SUMPRODUCT(ISNUMBER( SEARCH('13 Space Heating Costs'!$C$7:$AW$7,'12 Space Heating Subcomponents'!H30)) *'13 Space Heating Costs'!$C$14:$AW$14)</f>
        <v>12154.046773423514</v>
      </c>
      <c r="V12" s="139"/>
      <c r="W12" s="140" cm="1">
        <f t="array" ref="W12">SUMPRODUCT(ISNUMBER( SEARCH('13 Space Heating Costs'!$C$7:$AW$7,'12 Space Heating Subcomponents'!J30)) *'13 Space Heating Costs'!$C$14:$AW$14)</f>
        <v>4553.3959276259247</v>
      </c>
      <c r="X12" s="140" cm="1">
        <f t="array" ref="X12">SUMPRODUCT(ISNUMBER( SEARCH('13 Space Heating Costs'!$C$7:$AW$7,'12 Space Heating Subcomponents'!K30)) *'13 Space Heating Costs'!$C$14:$AW$14)</f>
        <v>10358.102517906533</v>
      </c>
      <c r="Y12" s="140" cm="1">
        <f t="array" ref="Y12">SUMPRODUCT(ISNUMBER( SEARCH('13 Space Heating Costs'!$C$7:$AW$7,'12 Space Heating Subcomponents'!L30)) *'13 Space Heating Costs'!$C$14:$AW$14)</f>
        <v>10306.879020395627</v>
      </c>
      <c r="Z12" s="140" cm="1">
        <f t="array" ref="Z12">SUMPRODUCT(ISNUMBER( SEARCH('13 Space Heating Costs'!$C$7:$AW$7,'12 Space Heating Subcomponents'!M30)) *'13 Space Heating Costs'!$C$14:$AW$14)</f>
        <v>11882.085072460406</v>
      </c>
      <c r="AA12" s="140" cm="1">
        <f t="array" ref="AA12">SUMPRODUCT(ISNUMBER( SEARCH('13 Space Heating Costs'!$C$7:$AW$7,'12 Space Heating Subcomponents'!N30)) *'13 Space Heating Costs'!$C$14:$AW$14)</f>
        <v>11050.260028022651</v>
      </c>
      <c r="AB12" s="140" cm="1">
        <f t="array" ref="AB12">SUMPRODUCT(ISNUMBER( SEARCH('13 Space Heating Costs'!$C$7:$AW$7,'12 Space Heating Subcomponents'!O30)) *'13 Space Heating Costs'!$C$14:$AW$14)</f>
        <v>11882.085072460406</v>
      </c>
      <c r="AC12" s="140" cm="1">
        <f t="array" ref="AC12">SUMPRODUCT(ISNUMBER( SEARCH('13 Space Heating Costs'!$C$7:$AW$7,'12 Space Heating Subcomponents'!P30)) *'13 Space Heating Costs'!$C$14:$AW$14)</f>
        <v>11795.482290847172</v>
      </c>
      <c r="AD12" s="402" cm="1">
        <f t="array" ref="AD12">SUMPRODUCT(ISNUMBER( SEARCH('13 Space Heating Costs'!$C$7:$AW$7,'12 Space Heating Subcomponents'!Q30)) *'13 Space Heating Costs'!$C$14:$AW$14)</f>
        <v>16695.464288260147</v>
      </c>
      <c r="AE12" s="72"/>
      <c r="AF12" s="1105"/>
      <c r="AG12" s="181" t="s">
        <v>242</v>
      </c>
      <c r="AH12" s="181" t="s">
        <v>245</v>
      </c>
      <c r="AI12" s="140" cm="1">
        <f t="array" ref="AI12">SUMPRODUCT(ISNUMBER( SEARCH('13 Space Heating Costs'!$C$7:$AW$7,'12 Space Heating Subcomponents'!G46)) *'13 Space Heating Costs'!$C$14:$AW$14)</f>
        <v>8854.7797880939852</v>
      </c>
      <c r="AJ12" s="140" cm="1">
        <f t="array" ref="AJ12">SUMPRODUCT(ISNUMBER( SEARCH('13 Space Heating Costs'!$C$7:$AW$7,'12 Space Heating Subcomponents'!H46)) *'13 Space Heating Costs'!$C$14:$AW$14)</f>
        <v>10768.831145084847</v>
      </c>
      <c r="AK12" s="139"/>
      <c r="AL12" s="140" cm="1">
        <f t="array" ref="AL12">SUMPRODUCT(ISNUMBER( SEARCH('13 Space Heating Costs'!$C$7:$AW$7,'12 Space Heating Subcomponents'!J46)) *'13 Space Heating Costs'!$C$14:$AW$14)</f>
        <v>3168.1802992872563</v>
      </c>
      <c r="AM12" s="140" cm="1">
        <f t="array" ref="AM12">SUMPRODUCT(ISNUMBER( SEARCH('13 Space Heating Costs'!$C$7:$AW$7,'12 Space Heating Subcomponents'!K46)) *'13 Space Heating Costs'!$C$14:$AW$14)</f>
        <v>8972.8868895678643</v>
      </c>
      <c r="AN12" s="140" cm="1">
        <f t="array" ref="AN12">SUMPRODUCT(ISNUMBER( SEARCH('13 Space Heating Costs'!$C$7:$AW$7,'12 Space Heating Subcomponents'!L46)) *'13 Space Heating Costs'!$C$14:$AW$14)</f>
        <v>8921.6633920569584</v>
      </c>
      <c r="AO12" s="140" cm="1">
        <f t="array" ref="AO12">SUMPRODUCT(ISNUMBER( SEARCH('13 Space Heating Costs'!$C$7:$AW$7,'12 Space Heating Subcomponents'!M46)) *'13 Space Heating Costs'!$C$14:$AW$14)</f>
        <v>10496.869444121739</v>
      </c>
      <c r="AP12" s="140" cm="1">
        <f t="array" ref="AP12">SUMPRODUCT(ISNUMBER( SEARCH('13 Space Heating Costs'!$C$7:$AW$7,'12 Space Heating Subcomponents'!N46)) *'13 Space Heating Costs'!$C$14:$AW$14)</f>
        <v>9665.044399683984</v>
      </c>
      <c r="AQ12" s="140" cm="1">
        <f t="array" ref="AQ12">SUMPRODUCT(ISNUMBER( SEARCH('13 Space Heating Costs'!$C$7:$AW$7,'12 Space Heating Subcomponents'!O46)) *'13 Space Heating Costs'!$C$14:$AW$14)</f>
        <v>10496.869444121739</v>
      </c>
      <c r="AR12" s="140" cm="1">
        <f t="array" ref="AR12">SUMPRODUCT(ISNUMBER( SEARCH('13 Space Heating Costs'!$C$7:$AW$7,'12 Space Heating Subcomponents'!P46)) *'13 Space Heating Costs'!$C$14:$AW$14)</f>
        <v>10410.266662508504</v>
      </c>
      <c r="AS12" s="402" cm="1">
        <f t="array" ref="AS12">SUMPRODUCT(ISNUMBER( SEARCH('13 Space Heating Costs'!$C$7:$AW$7,'12 Space Heating Subcomponents'!Q46)) *'13 Space Heating Costs'!$C$14:$AW$14)</f>
        <v>15310.248659921479</v>
      </c>
      <c r="AT12" s="72"/>
    </row>
    <row r="13" spans="1:46" ht="200.1" customHeight="1" x14ac:dyDescent="0.25">
      <c r="A13" s="60"/>
      <c r="B13" s="1105"/>
      <c r="C13" s="182" t="s">
        <v>244</v>
      </c>
      <c r="D13" s="182" t="s">
        <v>245</v>
      </c>
      <c r="E13" s="139"/>
      <c r="F13" s="139"/>
      <c r="G13" s="139"/>
      <c r="H13" s="139"/>
      <c r="I13" s="139"/>
      <c r="J13" s="139"/>
      <c r="K13" s="139"/>
      <c r="L13" s="139"/>
      <c r="M13" s="139"/>
      <c r="N13" s="139"/>
      <c r="O13" s="141"/>
      <c r="P13" s="72"/>
      <c r="Q13" s="1105"/>
      <c r="R13" s="182" t="s">
        <v>244</v>
      </c>
      <c r="S13" s="182" t="s">
        <v>245</v>
      </c>
      <c r="T13" s="139"/>
      <c r="U13" s="139"/>
      <c r="V13" s="139"/>
      <c r="W13" s="139"/>
      <c r="X13" s="139"/>
      <c r="Y13" s="139"/>
      <c r="Z13" s="139"/>
      <c r="AA13" s="139"/>
      <c r="AB13" s="139"/>
      <c r="AC13" s="139"/>
      <c r="AD13" s="141"/>
      <c r="AE13" s="72"/>
      <c r="AF13" s="1105"/>
      <c r="AG13" s="182" t="s">
        <v>244</v>
      </c>
      <c r="AH13" s="182" t="s">
        <v>245</v>
      </c>
      <c r="AI13" s="139"/>
      <c r="AJ13" s="139"/>
      <c r="AK13" s="139"/>
      <c r="AL13" s="139"/>
      <c r="AM13" s="139"/>
      <c r="AN13" s="139"/>
      <c r="AO13" s="139"/>
      <c r="AP13" s="139"/>
      <c r="AQ13" s="139"/>
      <c r="AR13" s="139"/>
      <c r="AS13" s="141"/>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Costs'!$C$14:$AW$14)</f>
        <v>2061.0778708439093</v>
      </c>
      <c r="F14" s="140" cm="1">
        <f t="array" ref="F14">SUMPRODUCT(ISNUMBER( SEARCH('13 Space Heating Costs'!$C$7:$AW$7,'12 Space Heating Subcomponents'!H16)) *'13 Space Heating Costs'!$C$14:$AW$14)</f>
        <v>3411.6707552148027</v>
      </c>
      <c r="G14" s="140" cm="1">
        <f t="array" ref="G14">SUMPRODUCT(ISNUMBER( SEARCH('13 Space Heating Costs'!$C$7:$AW$7,'12 Space Heating Subcomponents'!I16)) *'13 Space Heating Costs'!$C$14:$AW$14)</f>
        <v>5523.0939809186566</v>
      </c>
      <c r="H14" s="140" cm="1">
        <f t="array" ref="H14">SUMPRODUCT(ISNUMBER( SEARCH('13 Space Heating Costs'!$C$7:$AW$7,'12 Space Heating Subcomponents'!J16)) *'13 Space Heating Costs'!$C$14:$AW$14)</f>
        <v>6880.5166649576713</v>
      </c>
      <c r="I14" s="139"/>
      <c r="J14" s="140" cm="1">
        <f t="array" ref="J14">SUMPRODUCT(ISNUMBER( SEARCH('13 Space Heating Costs'!$C$7:$AW$7,'12 Space Heating Subcomponents'!L16)) *'13 Space Heating Costs'!$C$14:$AW$14)</f>
        <v>5318.1999908750313</v>
      </c>
      <c r="K14" s="140" cm="1">
        <f t="array" ref="K14">SUMPRODUCT(ISNUMBER( SEARCH('13 Space Heating Costs'!$C$7:$AW$7,'12 Space Heating Subcomponents'!M16)) *'13 Space Heating Costs'!$C$14:$AW$14)</f>
        <v>2464.0360512630377</v>
      </c>
      <c r="L14" s="140" cm="1">
        <f t="array" ref="L14">SUMPRODUCT(ISNUMBER( SEARCH('13 Space Heating Costs'!$C$7:$AW$7,'12 Space Heating Subcomponents'!N16)) *'13 Space Heating Costs'!$C$14:$AW$14)</f>
        <v>6061.5809985020578</v>
      </c>
      <c r="M14" s="140" cm="1">
        <f t="array" ref="M14">SUMPRODUCT(ISNUMBER( SEARCH('13 Space Heating Costs'!$C$7:$AW$7,'12 Space Heating Subcomponents'!O16)) *'13 Space Heating Costs'!$C$14:$AW$14)</f>
        <v>2464.0360512630377</v>
      </c>
      <c r="N14" s="140" cm="1">
        <f t="array" ref="N14">SUMPRODUCT(ISNUMBER( SEARCH('13 Space Heating Costs'!$C$7:$AW$7,'12 Space Heating Subcomponents'!P16)) *'13 Space Heating Costs'!$C$14:$AW$14)</f>
        <v>3053.1062726384594</v>
      </c>
      <c r="O14" s="402" cm="1">
        <f t="array" ref="O14">SUMPRODUCT(ISNUMBER( SEARCH('13 Space Heating Costs'!$C$7:$AW$7,'12 Space Heating Subcomponents'!Q16)) *'13 Space Heating Costs'!$C$14:$AW$14)</f>
        <v>7417.2557603972409</v>
      </c>
      <c r="P14" s="72"/>
      <c r="Q14" s="1105"/>
      <c r="R14" s="182" t="s">
        <v>246</v>
      </c>
      <c r="S14" s="182" t="s">
        <v>243</v>
      </c>
      <c r="T14" s="140" cm="1">
        <f t="array" ref="T14">SUMPRODUCT(ISNUMBER( SEARCH('13 Space Heating Costs'!$C$7:$AW$7,'12 Space Heating Subcomponents'!G32)) *'13 Space Heating Costs'!$C$14:$AW$14)</f>
        <v>2061.0778708439093</v>
      </c>
      <c r="U14" s="140" cm="1">
        <f t="array" ref="U14">SUMPRODUCT(ISNUMBER( SEARCH('13 Space Heating Costs'!$C$7:$AW$7,'12 Space Heating Subcomponents'!H32)) *'13 Space Heating Costs'!$C$14:$AW$14)</f>
        <v>3411.6707552148027</v>
      </c>
      <c r="V14" s="140" cm="1">
        <f t="array" ref="V14">SUMPRODUCT(ISNUMBER( SEARCH('13 Space Heating Costs'!$C$7:$AW$7,'12 Space Heating Subcomponents'!I32)) *'13 Space Heating Costs'!$C$14:$AW$14)</f>
        <v>5523.0939809186566</v>
      </c>
      <c r="W14" s="140" cm="1">
        <f t="array" ref="W14">SUMPRODUCT(ISNUMBER( SEARCH('13 Space Heating Costs'!$C$7:$AW$7,'12 Space Heating Subcomponents'!J32)) *'13 Space Heating Costs'!$C$14:$AW$14)</f>
        <v>6880.5166649576713</v>
      </c>
      <c r="X14" s="139"/>
      <c r="Y14" s="140" cm="1">
        <f t="array" ref="Y14">SUMPRODUCT(ISNUMBER( SEARCH('13 Space Heating Costs'!$C$7:$AW$7,'12 Space Heating Subcomponents'!L32)) *'13 Space Heating Costs'!$C$14:$AW$14)</f>
        <v>5318.1999908750313</v>
      </c>
      <c r="Z14" s="140" cm="1">
        <f t="array" ref="Z14">SUMPRODUCT(ISNUMBER( SEARCH('13 Space Heating Costs'!$C$7:$AW$7,'12 Space Heating Subcomponents'!M32)) *'13 Space Heating Costs'!$C$14:$AW$14)</f>
        <v>2464.0360512630377</v>
      </c>
      <c r="AA14" s="140" cm="1">
        <f t="array" ref="AA14">SUMPRODUCT(ISNUMBER( SEARCH('13 Space Heating Costs'!$C$7:$AW$7,'12 Space Heating Subcomponents'!N32)) *'13 Space Heating Costs'!$C$14:$AW$14)</f>
        <v>6061.5809985020578</v>
      </c>
      <c r="AB14" s="140" cm="1">
        <f t="array" ref="AB14">SUMPRODUCT(ISNUMBER( SEARCH('13 Space Heating Costs'!$C$7:$AW$7,'12 Space Heating Subcomponents'!O32)) *'13 Space Heating Costs'!$C$14:$AW$14)</f>
        <v>2464.0360512630377</v>
      </c>
      <c r="AC14" s="140" cm="1">
        <f t="array" ref="AC14">SUMPRODUCT(ISNUMBER( SEARCH('13 Space Heating Costs'!$C$7:$AW$7,'12 Space Heating Subcomponents'!P32)) *'13 Space Heating Costs'!$C$14:$AW$14)</f>
        <v>3053.1062726384594</v>
      </c>
      <c r="AD14" s="402" cm="1">
        <f t="array" ref="AD14">SUMPRODUCT(ISNUMBER( SEARCH('13 Space Heating Costs'!$C$7:$AW$7,'12 Space Heating Subcomponents'!Q32)) *'13 Space Heating Costs'!$C$14:$AW$14)</f>
        <v>7417.2557603972409</v>
      </c>
      <c r="AE14" s="72"/>
      <c r="AF14" s="1105"/>
      <c r="AG14" s="182" t="s">
        <v>246</v>
      </c>
      <c r="AH14" s="182" t="s">
        <v>243</v>
      </c>
      <c r="AI14" s="140" cm="1">
        <f t="array" ref="AI14">SUMPRODUCT(ISNUMBER( SEARCH('13 Space Heating Costs'!$C$7:$AW$7,'12 Space Heating Subcomponents'!G48)) *'13 Space Heating Costs'!$C$14:$AW$14)</f>
        <v>2061.0778708439093</v>
      </c>
      <c r="AJ14" s="140" cm="1">
        <f t="array" ref="AJ14">SUMPRODUCT(ISNUMBER( SEARCH('13 Space Heating Costs'!$C$7:$AW$7,'12 Space Heating Subcomponents'!H48)) *'13 Space Heating Costs'!$C$14:$AW$14)</f>
        <v>3411.6707552148027</v>
      </c>
      <c r="AK14" s="140" cm="1">
        <f t="array" ref="AK14">SUMPRODUCT(ISNUMBER( SEARCH('13 Space Heating Costs'!$C$7:$AW$7,'12 Space Heating Subcomponents'!I48)) *'13 Space Heating Costs'!$C$14:$AW$14)</f>
        <v>5523.0939809186566</v>
      </c>
      <c r="AL14" s="140" cm="1">
        <f t="array" ref="AL14">SUMPRODUCT(ISNUMBER( SEARCH('13 Space Heating Costs'!$C$7:$AW$7,'12 Space Heating Subcomponents'!J48)) *'13 Space Heating Costs'!$C$14:$AW$14)</f>
        <v>6880.5166649576713</v>
      </c>
      <c r="AM14" s="139"/>
      <c r="AN14" s="140" cm="1">
        <f t="array" ref="AN14">SUMPRODUCT(ISNUMBER( SEARCH('13 Space Heating Costs'!$C$7:$AW$7,'12 Space Heating Subcomponents'!L48)) *'13 Space Heating Costs'!$C$14:$AW$14)</f>
        <v>5318.1999908750313</v>
      </c>
      <c r="AO14" s="140" cm="1">
        <f t="array" ref="AO14">SUMPRODUCT(ISNUMBER( SEARCH('13 Space Heating Costs'!$C$7:$AW$7,'12 Space Heating Subcomponents'!M48)) *'13 Space Heating Costs'!$C$14:$AW$14)</f>
        <v>2464.0360512630377</v>
      </c>
      <c r="AP14" s="140" cm="1">
        <f t="array" ref="AP14">SUMPRODUCT(ISNUMBER( SEARCH('13 Space Heating Costs'!$C$7:$AW$7,'12 Space Heating Subcomponents'!N48)) *'13 Space Heating Costs'!$C$14:$AW$14)</f>
        <v>6061.5809985020578</v>
      </c>
      <c r="AQ14" s="140" cm="1">
        <f t="array" ref="AQ14">SUMPRODUCT(ISNUMBER( SEARCH('13 Space Heating Costs'!$C$7:$AW$7,'12 Space Heating Subcomponents'!O48)) *'13 Space Heating Costs'!$C$14:$AW$14)</f>
        <v>2464.0360512630377</v>
      </c>
      <c r="AR14" s="140" cm="1">
        <f t="array" ref="AR14">SUMPRODUCT(ISNUMBER( SEARCH('13 Space Heating Costs'!$C$7:$AW$7,'12 Space Heating Subcomponents'!P48)) *'13 Space Heating Costs'!$C$14:$AW$14)</f>
        <v>3053.1062726384594</v>
      </c>
      <c r="AS14" s="402" cm="1">
        <f t="array" ref="AS14">SUMPRODUCT(ISNUMBER( SEARCH('13 Space Heating Costs'!$C$7:$AW$7,'12 Space Heating Subcomponents'!Q48)) *'13 Space Heating Costs'!$C$14:$AW$14)</f>
        <v>7417.2557603972409</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Costs'!$C$14:$AW$14)</f>
        <v>2496.6019527778162</v>
      </c>
      <c r="F15" s="140" cm="1">
        <f t="array" ref="F15">SUMPRODUCT(ISNUMBER( SEARCH('13 Space Heating Costs'!$C$7:$AW$7,'12 Space Heating Subcomponents'!H17)) *'13 Space Heating Costs'!$C$14:$AW$14)</f>
        <v>3847.1948371487101</v>
      </c>
      <c r="G15" s="140" cm="1">
        <f t="array" ref="G15">SUMPRODUCT(ISNUMBER( SEARCH('13 Space Heating Costs'!$C$7:$AW$7,'12 Space Heating Subcomponents'!I17)) *'13 Space Heating Costs'!$C$14:$AW$14)</f>
        <v>1529.248071175788</v>
      </c>
      <c r="H15" s="140" cm="1">
        <f t="array" ref="H15">SUMPRODUCT(ISNUMBER( SEARCH('13 Space Heating Costs'!$C$7:$AW$7,'12 Space Heating Subcomponents'!J17)) *'13 Space Heating Costs'!$C$14:$AW$14)</f>
        <v>2886.6707552148027</v>
      </c>
      <c r="I15" s="140" cm="1">
        <f t="array" ref="I15">SUMPRODUCT(ISNUMBER( SEARCH('13 Space Heating Costs'!$C$7:$AW$7,'12 Space Heating Subcomponents'!K17)) *'13 Space Heating Costs'!$C$14:$AW$14)</f>
        <v>2336.1016605769769</v>
      </c>
      <c r="J15" s="139"/>
      <c r="K15" s="140" cm="1">
        <f t="array" ref="K15">SUMPRODUCT(ISNUMBER( SEARCH('13 Space Heating Costs'!$C$7:$AW$7,'12 Space Heating Subcomponents'!M17)) *'13 Space Heating Costs'!$C$14:$AW$14)</f>
        <v>2899.5601331969451</v>
      </c>
      <c r="L15" s="140" cm="1">
        <f t="array" ref="L15">SUMPRODUCT(ISNUMBER( SEARCH('13 Space Heating Costs'!$C$7:$AW$7,'12 Space Heating Subcomponents'!N17)) *'13 Space Heating Costs'!$C$14:$AW$14)</f>
        <v>2067.7350887591897</v>
      </c>
      <c r="M15" s="140" cm="1">
        <f t="array" ref="M15">SUMPRODUCT(ISNUMBER( SEARCH('13 Space Heating Costs'!$C$7:$AW$7,'12 Space Heating Subcomponents'!O17)) *'13 Space Heating Costs'!$C$14:$AW$14)</f>
        <v>2899.5601331969451</v>
      </c>
      <c r="N15" s="140" cm="1">
        <f t="array" ref="N15">SUMPRODUCT(ISNUMBER( SEARCH('13 Space Heating Costs'!$C$7:$AW$7,'12 Space Heating Subcomponents'!P17)) *'13 Space Heating Costs'!$C$14:$AW$14)</f>
        <v>3488.6303545723667</v>
      </c>
      <c r="O15" s="402" cm="1">
        <f t="array" ref="O15">SUMPRODUCT(ISNUMBER( SEARCH('13 Space Heating Costs'!$C$7:$AW$7,'12 Space Heating Subcomponents'!Q17)) *'13 Space Heating Costs'!$C$14:$AW$14)</f>
        <v>4244.0934392538175</v>
      </c>
      <c r="P15" s="72"/>
      <c r="Q15" s="1105"/>
      <c r="R15" s="182" t="s">
        <v>246</v>
      </c>
      <c r="S15" s="182" t="s">
        <v>247</v>
      </c>
      <c r="T15" s="140" cm="1">
        <f t="array" ref="T15">SUMPRODUCT(ISNUMBER( SEARCH('13 Space Heating Costs'!$C$7:$AW$7,'12 Space Heating Subcomponents'!G33)) *'13 Space Heating Costs'!$C$14:$AW$14)</f>
        <v>2496.6019527778162</v>
      </c>
      <c r="U15" s="140" cm="1">
        <f t="array" ref="U15">SUMPRODUCT(ISNUMBER( SEARCH('13 Space Heating Costs'!$C$7:$AW$7,'12 Space Heating Subcomponents'!H33)) *'13 Space Heating Costs'!$C$14:$AW$14)</f>
        <v>3847.1948371487101</v>
      </c>
      <c r="V15" s="140" cm="1">
        <f t="array" ref="V15">SUMPRODUCT(ISNUMBER( SEARCH('13 Space Heating Costs'!$C$7:$AW$7,'12 Space Heating Subcomponents'!I33)) *'13 Space Heating Costs'!$C$14:$AW$14)</f>
        <v>1529.248071175788</v>
      </c>
      <c r="W15" s="140" cm="1">
        <f t="array" ref="W15">SUMPRODUCT(ISNUMBER( SEARCH('13 Space Heating Costs'!$C$7:$AW$7,'12 Space Heating Subcomponents'!J33)) *'13 Space Heating Costs'!$C$14:$AW$14)</f>
        <v>2886.6707552148027</v>
      </c>
      <c r="X15" s="140" cm="1">
        <f t="array" ref="X15">SUMPRODUCT(ISNUMBER( SEARCH('13 Space Heating Costs'!$C$7:$AW$7,'12 Space Heating Subcomponents'!K33)) *'13 Space Heating Costs'!$C$14:$AW$14)</f>
        <v>2336.1016605769769</v>
      </c>
      <c r="Y15" s="139"/>
      <c r="Z15" s="140" cm="1">
        <f t="array" ref="Z15">SUMPRODUCT(ISNUMBER( SEARCH('13 Space Heating Costs'!$C$7:$AW$7,'12 Space Heating Subcomponents'!M33)) *'13 Space Heating Costs'!$C$14:$AW$14)</f>
        <v>2899.5601331969451</v>
      </c>
      <c r="AA15" s="140" cm="1">
        <f t="array" ref="AA15">SUMPRODUCT(ISNUMBER( SEARCH('13 Space Heating Costs'!$C$7:$AW$7,'12 Space Heating Subcomponents'!N33)) *'13 Space Heating Costs'!$C$14:$AW$14)</f>
        <v>2067.7350887591897</v>
      </c>
      <c r="AB15" s="140" cm="1">
        <f t="array" ref="AB15">SUMPRODUCT(ISNUMBER( SEARCH('13 Space Heating Costs'!$C$7:$AW$7,'12 Space Heating Subcomponents'!O33)) *'13 Space Heating Costs'!$C$14:$AW$14)</f>
        <v>2899.5601331969451</v>
      </c>
      <c r="AC15" s="140" cm="1">
        <f t="array" ref="AC15">SUMPRODUCT(ISNUMBER( SEARCH('13 Space Heating Costs'!$C$7:$AW$7,'12 Space Heating Subcomponents'!P33)) *'13 Space Heating Costs'!$C$14:$AW$14)</f>
        <v>3488.6303545723667</v>
      </c>
      <c r="AD15" s="402" cm="1">
        <f t="array" ref="AD15">SUMPRODUCT(ISNUMBER( SEARCH('13 Space Heating Costs'!$C$7:$AW$7,'12 Space Heating Subcomponents'!Q33)) *'13 Space Heating Costs'!$C$14:$AW$14)</f>
        <v>4244.0934392538175</v>
      </c>
      <c r="AE15" s="72"/>
      <c r="AF15" s="1105"/>
      <c r="AG15" s="182" t="s">
        <v>246</v>
      </c>
      <c r="AH15" s="182" t="s">
        <v>247</v>
      </c>
      <c r="AI15" s="140" cm="1">
        <f t="array" ref="AI15">SUMPRODUCT(ISNUMBER( SEARCH('13 Space Heating Costs'!$C$7:$AW$7,'12 Space Heating Subcomponents'!G49)) *'13 Space Heating Costs'!$C$14:$AW$14)</f>
        <v>2496.6019527778162</v>
      </c>
      <c r="AJ15" s="140" cm="1">
        <f t="array" ref="AJ15">SUMPRODUCT(ISNUMBER( SEARCH('13 Space Heating Costs'!$C$7:$AW$7,'12 Space Heating Subcomponents'!H49)) *'13 Space Heating Costs'!$C$14:$AW$14)</f>
        <v>3847.1948371487101</v>
      </c>
      <c r="AK15" s="140" cm="1">
        <f t="array" ref="AK15">SUMPRODUCT(ISNUMBER( SEARCH('13 Space Heating Costs'!$C$7:$AW$7,'12 Space Heating Subcomponents'!I49)) *'13 Space Heating Costs'!$C$14:$AW$14)</f>
        <v>1529.248071175788</v>
      </c>
      <c r="AL15" s="140" cm="1">
        <f t="array" ref="AL15">SUMPRODUCT(ISNUMBER( SEARCH('13 Space Heating Costs'!$C$7:$AW$7,'12 Space Heating Subcomponents'!J49)) *'13 Space Heating Costs'!$C$14:$AW$14)</f>
        <v>2886.6707552148027</v>
      </c>
      <c r="AM15" s="140" cm="1">
        <f t="array" ref="AM15">SUMPRODUCT(ISNUMBER( SEARCH('13 Space Heating Costs'!$C$7:$AW$7,'12 Space Heating Subcomponents'!K49)) *'13 Space Heating Costs'!$C$14:$AW$14)</f>
        <v>2336.1016605769769</v>
      </c>
      <c r="AN15" s="139"/>
      <c r="AO15" s="140" cm="1">
        <f t="array" ref="AO15">SUMPRODUCT(ISNUMBER( SEARCH('13 Space Heating Costs'!$C$7:$AW$7,'12 Space Heating Subcomponents'!M49)) *'13 Space Heating Costs'!$C$14:$AW$14)</f>
        <v>2899.5601331969451</v>
      </c>
      <c r="AP15" s="140" cm="1">
        <f t="array" ref="AP15">SUMPRODUCT(ISNUMBER( SEARCH('13 Space Heating Costs'!$C$7:$AW$7,'12 Space Heating Subcomponents'!N49)) *'13 Space Heating Costs'!$C$14:$AW$14)</f>
        <v>2067.7350887591897</v>
      </c>
      <c r="AQ15" s="140" cm="1">
        <f t="array" ref="AQ15">SUMPRODUCT(ISNUMBER( SEARCH('13 Space Heating Costs'!$C$7:$AW$7,'12 Space Heating Subcomponents'!O49)) *'13 Space Heating Costs'!$C$14:$AW$14)</f>
        <v>2899.5601331969451</v>
      </c>
      <c r="AR15" s="140" cm="1">
        <f t="array" ref="AR15">SUMPRODUCT(ISNUMBER( SEARCH('13 Space Heating Costs'!$C$7:$AW$7,'12 Space Heating Subcomponents'!P49)) *'13 Space Heating Costs'!$C$14:$AW$14)</f>
        <v>3488.6303545723667</v>
      </c>
      <c r="AS15" s="402" cm="1">
        <f t="array" ref="AS15">SUMPRODUCT(ISNUMBER( SEARCH('13 Space Heating Costs'!$C$7:$AW$7,'12 Space Heating Subcomponents'!Q49)) *'13 Space Heating Costs'!$C$14:$AW$14)</f>
        <v>4244.0934392538175</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Costs'!$C$14:$AW$14)</f>
        <v>1361.0778708439091</v>
      </c>
      <c r="F16" s="140" cm="1">
        <f t="array" ref="F16">SUMPRODUCT(ISNUMBER( SEARCH('13 Space Heating Costs'!$C$7:$AW$7,'12 Space Heating Subcomponents'!H18)) *'13 Space Heating Costs'!$C$14:$AW$14)</f>
        <v>2711.6707552148027</v>
      </c>
      <c r="G16" s="140" cm="1">
        <f t="array" ref="G16">SUMPRODUCT(ISNUMBER( SEARCH('13 Space Heating Costs'!$C$7:$AW$7,'12 Space Heating Subcomponents'!I18)) *'13 Space Heating Costs'!$C$14:$AW$14)</f>
        <v>4823.0939809186566</v>
      </c>
      <c r="H16" s="140" cm="1">
        <f t="array" ref="H16">SUMPRODUCT(ISNUMBER( SEARCH('13 Space Heating Costs'!$C$7:$AW$7,'12 Space Heating Subcomponents'!J18)) *'13 Space Heating Costs'!$C$14:$AW$14)</f>
        <v>6180.5166649576713</v>
      </c>
      <c r="I16" s="140" cm="1">
        <f t="array" ref="I16">SUMPRODUCT(ISNUMBER( SEARCH('13 Space Heating Costs'!$C$7:$AW$7,'12 Space Heating Subcomponents'!K18)) *'13 Space Heating Costs'!$C$14:$AW$14)</f>
        <v>1200.5775786430695</v>
      </c>
      <c r="J16" s="140" cm="1">
        <f t="array" ref="J16">SUMPRODUCT(ISNUMBER( SEARCH('13 Space Heating Costs'!$C$7:$AW$7,'12 Space Heating Subcomponents'!L18)) *'13 Space Heating Costs'!$C$14:$AW$14)</f>
        <v>4618.1999908750313</v>
      </c>
      <c r="K16" s="139"/>
      <c r="L16" s="140" cm="1">
        <f t="array" ref="L16">SUMPRODUCT(ISNUMBER( SEARCH('13 Space Heating Costs'!$C$7:$AW$7,'12 Space Heating Subcomponents'!N18)) *'13 Space Heating Costs'!$C$14:$AW$14)</f>
        <v>4540.8974099026127</v>
      </c>
      <c r="M16" s="140" cm="1">
        <f t="array" ref="M16">SUMPRODUCT(ISNUMBER( SEARCH('13 Space Heating Costs'!$C$7:$AW$7,'12 Space Heating Subcomponents'!O18)) *'13 Space Heating Costs'!$C$14:$AW$14)</f>
        <v>943.3524626635932</v>
      </c>
      <c r="N16" s="140" cm="1">
        <f t="array" ref="N16">SUMPRODUCT(ISNUMBER( SEARCH('13 Space Heating Costs'!$C$7:$AW$7,'12 Space Heating Subcomponents'!P18)) *'13 Space Heating Costs'!$C$14:$AW$14)</f>
        <v>2353.1062726384594</v>
      </c>
      <c r="O16" s="402" cm="1">
        <f t="array" ref="O16">SUMPRODUCT(ISNUMBER( SEARCH('13 Space Heating Costs'!$C$7:$AW$7,'12 Space Heating Subcomponents'!Q18)) *'13 Space Heating Costs'!$C$14:$AW$14)</f>
        <v>6717.2557603972409</v>
      </c>
      <c r="P16" s="72"/>
      <c r="Q16" s="1105"/>
      <c r="R16" s="182" t="s">
        <v>246</v>
      </c>
      <c r="S16" s="182" t="s">
        <v>248</v>
      </c>
      <c r="T16" s="140" cm="1">
        <f t="array" ref="T16">SUMPRODUCT(ISNUMBER( SEARCH('13 Space Heating Costs'!$C$7:$AW$7,'12 Space Heating Subcomponents'!G34)) *'13 Space Heating Costs'!$C$14:$AW$14)</f>
        <v>1361.0778708439091</v>
      </c>
      <c r="U16" s="140" cm="1">
        <f t="array" ref="U16">SUMPRODUCT(ISNUMBER( SEARCH('13 Space Heating Costs'!$C$7:$AW$7,'12 Space Heating Subcomponents'!H34)) *'13 Space Heating Costs'!$C$14:$AW$14)</f>
        <v>2711.6707552148027</v>
      </c>
      <c r="V16" s="140" cm="1">
        <f t="array" ref="V16">SUMPRODUCT(ISNUMBER( SEARCH('13 Space Heating Costs'!$C$7:$AW$7,'12 Space Heating Subcomponents'!I34)) *'13 Space Heating Costs'!$C$14:$AW$14)</f>
        <v>4823.0939809186566</v>
      </c>
      <c r="W16" s="140" cm="1">
        <f t="array" ref="W16">SUMPRODUCT(ISNUMBER( SEARCH('13 Space Heating Costs'!$C$7:$AW$7,'12 Space Heating Subcomponents'!J34)) *'13 Space Heating Costs'!$C$14:$AW$14)</f>
        <v>6180.5166649576713</v>
      </c>
      <c r="X16" s="140" cm="1">
        <f t="array" ref="X16">SUMPRODUCT(ISNUMBER( SEARCH('13 Space Heating Costs'!$C$7:$AW$7,'12 Space Heating Subcomponents'!K34)) *'13 Space Heating Costs'!$C$14:$AW$14)</f>
        <v>1200.5775786430695</v>
      </c>
      <c r="Y16" s="140" cm="1">
        <f t="array" ref="Y16">SUMPRODUCT(ISNUMBER( SEARCH('13 Space Heating Costs'!$C$7:$AW$7,'12 Space Heating Subcomponents'!L34)) *'13 Space Heating Costs'!$C$14:$AW$14)</f>
        <v>4618.1999908750313</v>
      </c>
      <c r="Z16" s="139"/>
      <c r="AA16" s="140" cm="1">
        <f t="array" ref="AA16">SUMPRODUCT(ISNUMBER( SEARCH('13 Space Heating Costs'!$C$7:$AW$7,'12 Space Heating Subcomponents'!N34)) *'13 Space Heating Costs'!$C$14:$AW$14)</f>
        <v>4540.8974099026127</v>
      </c>
      <c r="AB16" s="140" cm="1">
        <f t="array" ref="AB16">SUMPRODUCT(ISNUMBER( SEARCH('13 Space Heating Costs'!$C$7:$AW$7,'12 Space Heating Subcomponents'!O34)) *'13 Space Heating Costs'!$C$14:$AW$14)</f>
        <v>943.3524626635932</v>
      </c>
      <c r="AC16" s="140" cm="1">
        <f t="array" ref="AC16">SUMPRODUCT(ISNUMBER( SEARCH('13 Space Heating Costs'!$C$7:$AW$7,'12 Space Heating Subcomponents'!P34)) *'13 Space Heating Costs'!$C$14:$AW$14)</f>
        <v>2353.1062726384594</v>
      </c>
      <c r="AD16" s="402" cm="1">
        <f t="array" ref="AD16">SUMPRODUCT(ISNUMBER( SEARCH('13 Space Heating Costs'!$C$7:$AW$7,'12 Space Heating Subcomponents'!Q34)) *'13 Space Heating Costs'!$C$14:$AW$14)</f>
        <v>6717.2557603972409</v>
      </c>
      <c r="AE16" s="72"/>
      <c r="AF16" s="1105"/>
      <c r="AG16" s="182" t="s">
        <v>246</v>
      </c>
      <c r="AH16" s="182" t="s">
        <v>248</v>
      </c>
      <c r="AI16" s="140" cm="1">
        <f t="array" ref="AI16">SUMPRODUCT(ISNUMBER( SEARCH('13 Space Heating Costs'!$C$7:$AW$7,'12 Space Heating Subcomponents'!G50)) *'13 Space Heating Costs'!$C$14:$AW$14)</f>
        <v>1361.0778708439091</v>
      </c>
      <c r="AJ16" s="140" cm="1">
        <f t="array" ref="AJ16">SUMPRODUCT(ISNUMBER( SEARCH('13 Space Heating Costs'!$C$7:$AW$7,'12 Space Heating Subcomponents'!H50)) *'13 Space Heating Costs'!$C$14:$AW$14)</f>
        <v>2711.6707552148027</v>
      </c>
      <c r="AK16" s="140" cm="1">
        <f t="array" ref="AK16">SUMPRODUCT(ISNUMBER( SEARCH('13 Space Heating Costs'!$C$7:$AW$7,'12 Space Heating Subcomponents'!I50)) *'13 Space Heating Costs'!$C$14:$AW$14)</f>
        <v>4823.0939809186566</v>
      </c>
      <c r="AL16" s="140" cm="1">
        <f t="array" ref="AL16">SUMPRODUCT(ISNUMBER( SEARCH('13 Space Heating Costs'!$C$7:$AW$7,'12 Space Heating Subcomponents'!J50)) *'13 Space Heating Costs'!$C$14:$AW$14)</f>
        <v>6180.5166649576713</v>
      </c>
      <c r="AM16" s="140" cm="1">
        <f t="array" ref="AM16">SUMPRODUCT(ISNUMBER( SEARCH('13 Space Heating Costs'!$C$7:$AW$7,'12 Space Heating Subcomponents'!K50)) *'13 Space Heating Costs'!$C$14:$AW$14)</f>
        <v>1200.5775786430695</v>
      </c>
      <c r="AN16" s="140" cm="1">
        <f t="array" ref="AN16">SUMPRODUCT(ISNUMBER( SEARCH('13 Space Heating Costs'!$C$7:$AW$7,'12 Space Heating Subcomponents'!L50)) *'13 Space Heating Costs'!$C$14:$AW$14)</f>
        <v>4618.1999908750313</v>
      </c>
      <c r="AO16" s="139"/>
      <c r="AP16" s="140" cm="1">
        <f t="array" ref="AP16">SUMPRODUCT(ISNUMBER( SEARCH('13 Space Heating Costs'!$C$7:$AW$7,'12 Space Heating Subcomponents'!N50)) *'13 Space Heating Costs'!$C$14:$AW$14)</f>
        <v>4540.8974099026127</v>
      </c>
      <c r="AQ16" s="140" cm="1">
        <f t="array" ref="AQ16">SUMPRODUCT(ISNUMBER( SEARCH('13 Space Heating Costs'!$C$7:$AW$7,'12 Space Heating Subcomponents'!O50)) *'13 Space Heating Costs'!$C$14:$AW$14)</f>
        <v>943.3524626635932</v>
      </c>
      <c r="AR16" s="140" cm="1">
        <f t="array" ref="AR16">SUMPRODUCT(ISNUMBER( SEARCH('13 Space Heating Costs'!$C$7:$AW$7,'12 Space Heating Subcomponents'!P50)) *'13 Space Heating Costs'!$C$14:$AW$14)</f>
        <v>2353.1062726384594</v>
      </c>
      <c r="AS16" s="402" cm="1">
        <f t="array" ref="AS16">SUMPRODUCT(ISNUMBER( SEARCH('13 Space Heating Costs'!$C$7:$AW$7,'12 Space Heating Subcomponents'!Q50)) *'13 Space Heating Costs'!$C$14:$AW$14)</f>
        <v>6717.2557603972409</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Costs'!$C$14:$AW$14)</f>
        <v>4335.5786932193423</v>
      </c>
      <c r="F17" s="140" cm="1">
        <f t="array" ref="F17">SUMPRODUCT(ISNUMBER( SEARCH('13 Space Heating Costs'!$C$7:$AW$7,'12 Space Heating Subcomponents'!H19)) *'13 Space Heating Costs'!$C$14:$AW$14)</f>
        <v>5686.1715775902367</v>
      </c>
      <c r="G17" s="140" cm="1">
        <f t="array" ref="G17">SUMPRODUCT(ISNUMBER( SEARCH('13 Space Heating Costs'!$C$7:$AW$7,'12 Space Heating Subcomponents'!I19)) *'13 Space Heating Costs'!$C$14:$AW$14)</f>
        <v>3368.2248116173146</v>
      </c>
      <c r="H17" s="140" cm="1">
        <f t="array" ref="H17">SUMPRODUCT(ISNUMBER( SEARCH('13 Space Heating Costs'!$C$7:$AW$7,'12 Space Heating Subcomponents'!J19)) *'13 Space Heating Costs'!$C$14:$AW$14)</f>
        <v>4725.6474956563288</v>
      </c>
      <c r="I17" s="140" cm="1">
        <f t="array" ref="I17">SUMPRODUCT(ISNUMBER( SEARCH('13 Space Heating Costs'!$C$7:$AW$7,'12 Space Heating Subcomponents'!K19)) *'13 Space Heating Costs'!$C$14:$AW$14)</f>
        <v>4175.0784010185034</v>
      </c>
      <c r="J17" s="140" cm="1">
        <f t="array" ref="J17">SUMPRODUCT(ISNUMBER( SEARCH('13 Space Heating Costs'!$C$7:$AW$7,'12 Space Heating Subcomponents'!L19)) *'13 Space Heating Costs'!$C$14:$AW$14)</f>
        <v>4123.8549035075976</v>
      </c>
      <c r="K17" s="140" cm="1">
        <f t="array" ref="K17">SUMPRODUCT(ISNUMBER( SEARCH('13 Space Heating Costs'!$C$7:$AW$7,'12 Space Heating Subcomponents'!M19)) *'13 Space Heating Costs'!$C$14:$AW$14)</f>
        <v>3917.853285039027</v>
      </c>
      <c r="L17" s="139"/>
      <c r="M17" s="140" cm="1">
        <f t="array" ref="M17">SUMPRODUCT(ISNUMBER( SEARCH('13 Space Heating Costs'!$C$7:$AW$7,'12 Space Heating Subcomponents'!O19)) *'13 Space Heating Costs'!$C$14:$AW$14)</f>
        <v>3917.853285039027</v>
      </c>
      <c r="N17" s="140" cm="1">
        <f t="array" ref="N17">SUMPRODUCT(ISNUMBER( SEARCH('13 Space Heating Costs'!$C$7:$AW$7,'12 Space Heating Subcomponents'!P19)) *'13 Space Heating Costs'!$C$14:$AW$14)</f>
        <v>5327.6070950138928</v>
      </c>
      <c r="O17" s="402" cm="1">
        <f t="array" ref="O17">SUMPRODUCT(ISNUMBER( SEARCH('13 Space Heating Costs'!$C$7:$AW$7,'12 Space Heating Subcomponents'!Q19)) *'13 Space Heating Costs'!$C$14:$AW$14)</f>
        <v>6083.0701796953435</v>
      </c>
      <c r="P17" s="72"/>
      <c r="Q17" s="1105"/>
      <c r="R17" s="182" t="s">
        <v>246</v>
      </c>
      <c r="S17" s="182" t="s">
        <v>249</v>
      </c>
      <c r="T17" s="140" cm="1">
        <f t="array" ref="T17">SUMPRODUCT(ISNUMBER( SEARCH('13 Space Heating Costs'!$C$7:$AW$7,'12 Space Heating Subcomponents'!G35)) *'13 Space Heating Costs'!$C$14:$AW$14)</f>
        <v>4335.5786932193423</v>
      </c>
      <c r="U17" s="140" cm="1">
        <f t="array" ref="U17">SUMPRODUCT(ISNUMBER( SEARCH('13 Space Heating Costs'!$C$7:$AW$7,'12 Space Heating Subcomponents'!H35)) *'13 Space Heating Costs'!$C$14:$AW$14)</f>
        <v>5686.1715775902367</v>
      </c>
      <c r="V17" s="140" cm="1">
        <f t="array" ref="V17">SUMPRODUCT(ISNUMBER( SEARCH('13 Space Heating Costs'!$C$7:$AW$7,'12 Space Heating Subcomponents'!I35)) *'13 Space Heating Costs'!$C$14:$AW$14)</f>
        <v>3368.2248116173146</v>
      </c>
      <c r="W17" s="140" cm="1">
        <f t="array" ref="W17">SUMPRODUCT(ISNUMBER( SEARCH('13 Space Heating Costs'!$C$7:$AW$7,'12 Space Heating Subcomponents'!J35)) *'13 Space Heating Costs'!$C$14:$AW$14)</f>
        <v>4725.6474956563288</v>
      </c>
      <c r="X17" s="140" cm="1">
        <f t="array" ref="X17">SUMPRODUCT(ISNUMBER( SEARCH('13 Space Heating Costs'!$C$7:$AW$7,'12 Space Heating Subcomponents'!K35)) *'13 Space Heating Costs'!$C$14:$AW$14)</f>
        <v>4175.0784010185034</v>
      </c>
      <c r="Y17" s="140" cm="1">
        <f t="array" ref="Y17">SUMPRODUCT(ISNUMBER( SEARCH('13 Space Heating Costs'!$C$7:$AW$7,'12 Space Heating Subcomponents'!L35)) *'13 Space Heating Costs'!$C$14:$AW$14)</f>
        <v>4123.8549035075976</v>
      </c>
      <c r="Z17" s="140" cm="1">
        <f t="array" ref="Z17">SUMPRODUCT(ISNUMBER( SEARCH('13 Space Heating Costs'!$C$7:$AW$7,'12 Space Heating Subcomponents'!M35)) *'13 Space Heating Costs'!$C$14:$AW$14)</f>
        <v>3917.853285039027</v>
      </c>
      <c r="AA17" s="139"/>
      <c r="AB17" s="140" cm="1">
        <f t="array" ref="AB17">SUMPRODUCT(ISNUMBER( SEARCH('13 Space Heating Costs'!$C$7:$AW$7,'12 Space Heating Subcomponents'!O35)) *'13 Space Heating Costs'!$C$14:$AW$14)</f>
        <v>3917.853285039027</v>
      </c>
      <c r="AC17" s="140" cm="1">
        <f t="array" ref="AC17">SUMPRODUCT(ISNUMBER( SEARCH('13 Space Heating Costs'!$C$7:$AW$7,'12 Space Heating Subcomponents'!P35)) *'13 Space Heating Costs'!$C$14:$AW$14)</f>
        <v>5327.6070950138928</v>
      </c>
      <c r="AD17" s="402" cm="1">
        <f t="array" ref="AD17">SUMPRODUCT(ISNUMBER( SEARCH('13 Space Heating Costs'!$C$7:$AW$7,'12 Space Heating Subcomponents'!Q35)) *'13 Space Heating Costs'!$C$14:$AW$14)</f>
        <v>6083.0701796953435</v>
      </c>
      <c r="AE17" s="72"/>
      <c r="AF17" s="1105"/>
      <c r="AG17" s="182" t="s">
        <v>246</v>
      </c>
      <c r="AH17" s="182" t="s">
        <v>249</v>
      </c>
      <c r="AI17" s="140" cm="1">
        <f t="array" ref="AI17">SUMPRODUCT(ISNUMBER( SEARCH('13 Space Heating Costs'!$C$7:$AW$7,'12 Space Heating Subcomponents'!G51)) *'13 Space Heating Costs'!$C$14:$AW$14)</f>
        <v>4335.5786932193423</v>
      </c>
      <c r="AJ17" s="140" cm="1">
        <f t="array" ref="AJ17">SUMPRODUCT(ISNUMBER( SEARCH('13 Space Heating Costs'!$C$7:$AW$7,'12 Space Heating Subcomponents'!H51)) *'13 Space Heating Costs'!$C$14:$AW$14)</f>
        <v>5686.1715775902367</v>
      </c>
      <c r="AK17" s="140" cm="1">
        <f t="array" ref="AK17">SUMPRODUCT(ISNUMBER( SEARCH('13 Space Heating Costs'!$C$7:$AW$7,'12 Space Heating Subcomponents'!I51)) *'13 Space Heating Costs'!$C$14:$AW$14)</f>
        <v>3368.2248116173146</v>
      </c>
      <c r="AL17" s="140" cm="1">
        <f t="array" ref="AL17">SUMPRODUCT(ISNUMBER( SEARCH('13 Space Heating Costs'!$C$7:$AW$7,'12 Space Heating Subcomponents'!J51)) *'13 Space Heating Costs'!$C$14:$AW$14)</f>
        <v>4725.6474956563288</v>
      </c>
      <c r="AM17" s="140" cm="1">
        <f t="array" ref="AM17">SUMPRODUCT(ISNUMBER( SEARCH('13 Space Heating Costs'!$C$7:$AW$7,'12 Space Heating Subcomponents'!K51)) *'13 Space Heating Costs'!$C$14:$AW$14)</f>
        <v>4175.0784010185034</v>
      </c>
      <c r="AN17" s="140" cm="1">
        <f t="array" ref="AN17">SUMPRODUCT(ISNUMBER( SEARCH('13 Space Heating Costs'!$C$7:$AW$7,'12 Space Heating Subcomponents'!L51)) *'13 Space Heating Costs'!$C$14:$AW$14)</f>
        <v>4123.8549035075976</v>
      </c>
      <c r="AO17" s="140" cm="1">
        <f t="array" ref="AO17">SUMPRODUCT(ISNUMBER( SEARCH('13 Space Heating Costs'!$C$7:$AW$7,'12 Space Heating Subcomponents'!M51)) *'13 Space Heating Costs'!$C$14:$AW$14)</f>
        <v>3917.853285039027</v>
      </c>
      <c r="AP17" s="139"/>
      <c r="AQ17" s="140" cm="1">
        <f t="array" ref="AQ17">SUMPRODUCT(ISNUMBER( SEARCH('13 Space Heating Costs'!$C$7:$AW$7,'12 Space Heating Subcomponents'!O51)) *'13 Space Heating Costs'!$C$14:$AW$14)</f>
        <v>3917.853285039027</v>
      </c>
      <c r="AR17" s="140" cm="1">
        <f t="array" ref="AR17">SUMPRODUCT(ISNUMBER( SEARCH('13 Space Heating Costs'!$C$7:$AW$7,'12 Space Heating Subcomponents'!P51)) *'13 Space Heating Costs'!$C$14:$AW$14)</f>
        <v>5327.6070950138928</v>
      </c>
      <c r="AS17" s="402" cm="1">
        <f t="array" ref="AS17">SUMPRODUCT(ISNUMBER( SEARCH('13 Space Heating Costs'!$C$7:$AW$7,'12 Space Heating Subcomponents'!Q51)) *'13 Space Heating Costs'!$C$14:$AW$14)</f>
        <v>6083.0701796953435</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Costs'!$C$14:$AW$14)</f>
        <v>17726.738630202184</v>
      </c>
      <c r="F18" s="140" cm="1">
        <f t="array" ref="F18">SUMPRODUCT(ISNUMBER( SEARCH('13 Space Heating Costs'!$C$7:$AW$7,'12 Space Heating Subcomponents'!H20)) *'13 Space Heating Costs'!$C$14:$AW$14)</f>
        <v>22546.177424315945</v>
      </c>
      <c r="G18" s="140" cm="1">
        <f t="array" ref="G18">SUMPRODUCT(ISNUMBER( SEARCH('13 Space Heating Costs'!$C$7:$AW$7,'12 Space Heating Subcomponents'!I20)) *'13 Space Heating Costs'!$C$14:$AW$14)</f>
        <v>17719.908830534063</v>
      </c>
      <c r="H18" s="140" cm="1">
        <f t="array" ref="H18">SUMPRODUCT(ISNUMBER( SEARCH('13 Space Heating Costs'!$C$7:$AW$7,'12 Space Heating Subcomponents'!J20)) *'13 Space Heating Costs'!$C$14:$AW$14)</f>
        <v>22546.177424315945</v>
      </c>
      <c r="I18" s="140" cm="1">
        <f t="array" ref="I18">SUMPRODUCT(ISNUMBER( SEARCH('13 Space Heating Costs'!$C$7:$AW$7,'12 Space Heating Subcomponents'!K20)) *'13 Space Heating Costs'!$C$14:$AW$14)</f>
        <v>17566.238338001342</v>
      </c>
      <c r="J18" s="140" cm="1">
        <f t="array" ref="J18">SUMPRODUCT(ISNUMBER( SEARCH('13 Space Heating Costs'!$C$7:$AW$7,'12 Space Heating Subcomponents'!L20)) *'13 Space Heating Costs'!$C$14:$AW$14)</f>
        <v>21659.53375322196</v>
      </c>
      <c r="K18" s="140" cm="1">
        <f t="array" ref="K18">SUMPRODUCT(ISNUMBER( SEARCH('13 Space Heating Costs'!$C$7:$AW$7,'12 Space Heating Subcomponents'!M20)) *'13 Space Heating Costs'!$C$14:$AW$14)</f>
        <v>17309.013222021866</v>
      </c>
      <c r="L18" s="140" cm="1">
        <f t="array" ref="L18">SUMPRODUCT(ISNUMBER( SEARCH('13 Space Heating Costs'!$C$7:$AW$7,'12 Space Heating Subcomponents'!N20)) *'13 Space Heating Costs'!$C$14:$AW$14)</f>
        <v>20906.558169260887</v>
      </c>
      <c r="M18" s="139"/>
      <c r="N18" s="140" cm="1">
        <f t="array" ref="N18">SUMPRODUCT(ISNUMBER( SEARCH('13 Space Heating Costs'!$C$7:$AW$7,'12 Space Heating Subcomponents'!P20)) *'13 Space Heating Costs'!$C$14:$AW$14)</f>
        <v>22187.612941739601</v>
      </c>
      <c r="O18" s="402" cm="1">
        <f t="array" ref="O18">SUMPRODUCT(ISNUMBER( SEARCH('13 Space Heating Costs'!$C$7:$AW$7,'12 Space Heating Subcomponents'!Q20)) *'13 Space Heating Costs'!$C$14:$AW$14)</f>
        <v>20289.743613001305</v>
      </c>
      <c r="P18" s="72"/>
      <c r="Q18" s="1105"/>
      <c r="R18" s="182" t="s">
        <v>246</v>
      </c>
      <c r="S18" s="182" t="s">
        <v>250</v>
      </c>
      <c r="T18" s="140" cm="1">
        <f t="array" ref="T18">SUMPRODUCT(ISNUMBER( SEARCH('13 Space Heating Costs'!$C$7:$AW$7,'12 Space Heating Subcomponents'!G36)) *'13 Space Heating Costs'!$C$14:$AW$14)</f>
        <v>17726.738630202184</v>
      </c>
      <c r="U18" s="140" cm="1">
        <f t="array" ref="U18">SUMPRODUCT(ISNUMBER( SEARCH('13 Space Heating Costs'!$C$7:$AW$7,'12 Space Heating Subcomponents'!H36)) *'13 Space Heating Costs'!$C$14:$AW$14)</f>
        <v>22546.177424315945</v>
      </c>
      <c r="V18" s="140" cm="1">
        <f t="array" ref="V18">SUMPRODUCT(ISNUMBER( SEARCH('13 Space Heating Costs'!$C$7:$AW$7,'12 Space Heating Subcomponents'!I36)) *'13 Space Heating Costs'!$C$14:$AW$14)</f>
        <v>17719.908830534063</v>
      </c>
      <c r="W18" s="140" cm="1">
        <f t="array" ref="W18">SUMPRODUCT(ISNUMBER( SEARCH('13 Space Heating Costs'!$C$7:$AW$7,'12 Space Heating Subcomponents'!J36)) *'13 Space Heating Costs'!$C$14:$AW$14)</f>
        <v>22546.177424315945</v>
      </c>
      <c r="X18" s="140" cm="1">
        <f t="array" ref="X18">SUMPRODUCT(ISNUMBER( SEARCH('13 Space Heating Costs'!$C$7:$AW$7,'12 Space Heating Subcomponents'!K36)) *'13 Space Heating Costs'!$C$14:$AW$14)</f>
        <v>17566.238338001342</v>
      </c>
      <c r="Y18" s="140" cm="1">
        <f t="array" ref="Y18">SUMPRODUCT(ISNUMBER( SEARCH('13 Space Heating Costs'!$C$7:$AW$7,'12 Space Heating Subcomponents'!L36)) *'13 Space Heating Costs'!$C$14:$AW$14)</f>
        <v>21659.53375322196</v>
      </c>
      <c r="Z18" s="140" cm="1">
        <f t="array" ref="Z18">SUMPRODUCT(ISNUMBER( SEARCH('13 Space Heating Costs'!$C$7:$AW$7,'12 Space Heating Subcomponents'!M36)) *'13 Space Heating Costs'!$C$14:$AW$14)</f>
        <v>17309.013222021866</v>
      </c>
      <c r="AA18" s="140" cm="1">
        <f t="array" ref="AA18">SUMPRODUCT(ISNUMBER( SEARCH('13 Space Heating Costs'!$C$7:$AW$7,'12 Space Heating Subcomponents'!N36)) *'13 Space Heating Costs'!$C$14:$AW$14)</f>
        <v>20906.558169260887</v>
      </c>
      <c r="AB18" s="139"/>
      <c r="AC18" s="140" cm="1">
        <f t="array" ref="AC18">SUMPRODUCT(ISNUMBER( SEARCH('13 Space Heating Costs'!$C$7:$AW$7,'12 Space Heating Subcomponents'!P36)) *'13 Space Heating Costs'!$C$14:$AW$14)</f>
        <v>22187.612941739601</v>
      </c>
      <c r="AD18" s="402" cm="1">
        <f t="array" ref="AD18">SUMPRODUCT(ISNUMBER( SEARCH('13 Space Heating Costs'!$C$7:$AW$7,'12 Space Heating Subcomponents'!Q36)) *'13 Space Heating Costs'!$C$14:$AW$14)</f>
        <v>20289.743613001305</v>
      </c>
      <c r="AE18" s="72"/>
      <c r="AF18" s="1105"/>
      <c r="AG18" s="182" t="s">
        <v>246</v>
      </c>
      <c r="AH18" s="182" t="s">
        <v>250</v>
      </c>
      <c r="AI18" s="140" cm="1">
        <f t="array" ref="AI18">SUMPRODUCT(ISNUMBER( SEARCH('13 Space Heating Costs'!$C$7:$AW$7,'12 Space Heating Subcomponents'!G52)) *'13 Space Heating Costs'!$C$14:$AW$14)</f>
        <v>17726.738630202184</v>
      </c>
      <c r="AJ18" s="140" cm="1">
        <f t="array" ref="AJ18">SUMPRODUCT(ISNUMBER( SEARCH('13 Space Heating Costs'!$C$7:$AW$7,'12 Space Heating Subcomponents'!H52)) *'13 Space Heating Costs'!$C$14:$AW$14)</f>
        <v>22546.177424315945</v>
      </c>
      <c r="AK18" s="140" cm="1">
        <f t="array" ref="AK18">SUMPRODUCT(ISNUMBER( SEARCH('13 Space Heating Costs'!$C$7:$AW$7,'12 Space Heating Subcomponents'!I52)) *'13 Space Heating Costs'!$C$14:$AW$14)</f>
        <v>17719.908830534063</v>
      </c>
      <c r="AL18" s="140" cm="1">
        <f t="array" ref="AL18">SUMPRODUCT(ISNUMBER( SEARCH('13 Space Heating Costs'!$C$7:$AW$7,'12 Space Heating Subcomponents'!J52)) *'13 Space Heating Costs'!$C$14:$AW$14)</f>
        <v>22546.177424315945</v>
      </c>
      <c r="AM18" s="140" cm="1">
        <f t="array" ref="AM18">SUMPRODUCT(ISNUMBER( SEARCH('13 Space Heating Costs'!$C$7:$AW$7,'12 Space Heating Subcomponents'!K52)) *'13 Space Heating Costs'!$C$14:$AW$14)</f>
        <v>17566.238338001342</v>
      </c>
      <c r="AN18" s="140" cm="1">
        <f t="array" ref="AN18">SUMPRODUCT(ISNUMBER( SEARCH('13 Space Heating Costs'!$C$7:$AW$7,'12 Space Heating Subcomponents'!L52)) *'13 Space Heating Costs'!$C$14:$AW$14)</f>
        <v>21659.53375322196</v>
      </c>
      <c r="AO18" s="140" cm="1">
        <f t="array" ref="AO18">SUMPRODUCT(ISNUMBER( SEARCH('13 Space Heating Costs'!$C$7:$AW$7,'12 Space Heating Subcomponents'!M52)) *'13 Space Heating Costs'!$C$14:$AW$14)</f>
        <v>17309.013222021866</v>
      </c>
      <c r="AP18" s="140" cm="1">
        <f t="array" ref="AP18">SUMPRODUCT(ISNUMBER( SEARCH('13 Space Heating Costs'!$C$7:$AW$7,'12 Space Heating Subcomponents'!N52)) *'13 Space Heating Costs'!$C$14:$AW$14)</f>
        <v>20906.558169260887</v>
      </c>
      <c r="AQ18" s="139"/>
      <c r="AR18" s="140" cm="1">
        <f t="array" ref="AR18">SUMPRODUCT(ISNUMBER( SEARCH('13 Space Heating Costs'!$C$7:$AW$7,'12 Space Heating Subcomponents'!P52)) *'13 Space Heating Costs'!$C$14:$AW$14)</f>
        <v>22187.612941739601</v>
      </c>
      <c r="AS18" s="402" cm="1">
        <f t="array" ref="AS18">SUMPRODUCT(ISNUMBER( SEARCH('13 Space Heating Costs'!$C$7:$AW$7,'12 Space Heating Subcomponents'!Q52)) *'13 Space Heating Costs'!$C$14:$AW$14)</f>
        <v>20289.743613001305</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Costs'!$C$14:$AW$14)</f>
        <v>3044.1727291952902</v>
      </c>
      <c r="F19" s="140" cm="1">
        <f t="array" ref="F19">SUMPRODUCT(ISNUMBER( SEARCH('13 Space Heating Costs'!$C$7:$AW$7,'12 Space Heating Subcomponents'!H21)) *'13 Space Heating Costs'!$C$14:$AW$14)</f>
        <v>4394.7656135661837</v>
      </c>
      <c r="G19" s="140" cm="1">
        <f t="array" ref="G19">SUMPRODUCT(ISNUMBER( SEARCH('13 Space Heating Costs'!$C$7:$AW$7,'12 Space Heating Subcomponents'!I21)) *'13 Space Heating Costs'!$C$14:$AW$14)</f>
        <v>6506.1888392700375</v>
      </c>
      <c r="H19" s="140" cm="1">
        <f t="array" ref="H19">SUMPRODUCT(ISNUMBER( SEARCH('13 Space Heating Costs'!$C$7:$AW$7,'12 Space Heating Subcomponents'!J21)) *'13 Space Heating Costs'!$C$14:$AW$14)</f>
        <v>7863.6115233090513</v>
      </c>
      <c r="I19" s="140" cm="1">
        <f t="array" ref="I19">SUMPRODUCT(ISNUMBER( SEARCH('13 Space Heating Costs'!$C$7:$AW$7,'12 Space Heating Subcomponents'!K21)) *'13 Space Heating Costs'!$C$14:$AW$14)</f>
        <v>3559.3454399831071</v>
      </c>
      <c r="J19" s="140" cm="1">
        <f t="array" ref="J19">SUMPRODUCT(ISNUMBER( SEARCH('13 Space Heating Costs'!$C$7:$AW$7,'12 Space Heating Subcomponents'!L21)) *'13 Space Heating Costs'!$C$14:$AW$14)</f>
        <v>6976.9678522150689</v>
      </c>
      <c r="K19" s="140" cm="1">
        <f t="array" ref="K19">SUMPRODUCT(ISNUMBER( SEARCH('13 Space Heating Costs'!$C$7:$AW$7,'12 Space Heating Subcomponents'!M21)) *'13 Space Heating Costs'!$C$14:$AW$14)</f>
        <v>4122.8039126030753</v>
      </c>
      <c r="L19" s="140" cm="1">
        <f t="array" ref="L19">SUMPRODUCT(ISNUMBER( SEARCH('13 Space Heating Costs'!$C$7:$AW$7,'12 Space Heating Subcomponents'!N21)) *'13 Space Heating Costs'!$C$14:$AW$14)</f>
        <v>7720.3488598420954</v>
      </c>
      <c r="M19" s="140" cm="1">
        <f t="array" ref="M19">SUMPRODUCT(ISNUMBER( SEARCH('13 Space Heating Costs'!$C$7:$AW$7,'12 Space Heating Subcomponents'!O21)) *'13 Space Heating Costs'!$C$14:$AW$14)</f>
        <v>4122.8039126030753</v>
      </c>
      <c r="N19" s="139"/>
      <c r="O19" s="402" cm="1">
        <f t="array" ref="O19">SUMPRODUCT(ISNUMBER( SEARCH('13 Space Heating Costs'!$C$7:$AW$7,'12 Space Heating Subcomponents'!Q21)) *'13 Space Heating Costs'!$C$14:$AW$14)</f>
        <v>9896.7072103367227</v>
      </c>
      <c r="P19" s="72"/>
      <c r="Q19" s="1105"/>
      <c r="R19" s="182" t="s">
        <v>86</v>
      </c>
      <c r="S19" s="182" t="s">
        <v>243</v>
      </c>
      <c r="T19" s="140" cm="1">
        <f t="array" ref="T19">SUMPRODUCT(ISNUMBER( SEARCH('13 Space Heating Costs'!$C$7:$AW$7,'12 Space Heating Subcomponents'!G37)) *'13 Space Heating Costs'!$C$14:$AW$14)</f>
        <v>3609.1178707619829</v>
      </c>
      <c r="U19" s="140" cm="1">
        <f t="array" ref="U19">SUMPRODUCT(ISNUMBER( SEARCH('13 Space Heating Costs'!$C$7:$AW$7,'12 Space Heating Subcomponents'!H37)) *'13 Space Heating Costs'!$C$14:$AW$14)</f>
        <v>4959.7107551328772</v>
      </c>
      <c r="V19" s="140" cm="1">
        <f t="array" ref="V19">SUMPRODUCT(ISNUMBER( SEARCH('13 Space Heating Costs'!$C$7:$AW$7,'12 Space Heating Subcomponents'!I37)) *'13 Space Heating Costs'!$C$14:$AW$14)</f>
        <v>7071.1339808367302</v>
      </c>
      <c r="W19" s="140" cm="1">
        <f t="array" ref="W19">SUMPRODUCT(ISNUMBER( SEARCH('13 Space Heating Costs'!$C$7:$AW$7,'12 Space Heating Subcomponents'!J37)) *'13 Space Heating Costs'!$C$14:$AW$14)</f>
        <v>8428.5566648757449</v>
      </c>
      <c r="X19" s="140" cm="1">
        <f t="array" ref="X19">SUMPRODUCT(ISNUMBER( SEARCH('13 Space Heating Costs'!$C$7:$AW$7,'12 Space Heating Subcomponents'!K37)) *'13 Space Heating Costs'!$C$14:$AW$14)</f>
        <v>4124.2905815497998</v>
      </c>
      <c r="Y19" s="140" cm="1">
        <f t="array" ref="Y19">SUMPRODUCT(ISNUMBER( SEARCH('13 Space Heating Costs'!$C$7:$AW$7,'12 Space Heating Subcomponents'!L37)) *'13 Space Heating Costs'!$C$14:$AW$14)</f>
        <v>7541.9129937817615</v>
      </c>
      <c r="Z19" s="140" cm="1">
        <f t="array" ref="Z19">SUMPRODUCT(ISNUMBER( SEARCH('13 Space Heating Costs'!$C$7:$AW$7,'12 Space Heating Subcomponents'!M37)) *'13 Space Heating Costs'!$C$14:$AW$14)</f>
        <v>4687.749054169768</v>
      </c>
      <c r="AA19" s="140" cm="1">
        <f t="array" ref="AA19">SUMPRODUCT(ISNUMBER( SEARCH('13 Space Heating Costs'!$C$7:$AW$7,'12 Space Heating Subcomponents'!N37)) *'13 Space Heating Costs'!$C$14:$AW$14)</f>
        <v>8285.2940014087872</v>
      </c>
      <c r="AB19" s="140" cm="1">
        <f t="array" ref="AB19">SUMPRODUCT(ISNUMBER( SEARCH('13 Space Heating Costs'!$C$7:$AW$7,'12 Space Heating Subcomponents'!O37)) *'13 Space Heating Costs'!$C$14:$AW$14)</f>
        <v>4687.749054169768</v>
      </c>
      <c r="AC19" s="139"/>
      <c r="AD19" s="402" cm="1">
        <f t="array" ref="AD19">SUMPRODUCT(ISNUMBER( SEARCH('13 Space Heating Costs'!$C$7:$AW$7,'12 Space Heating Subcomponents'!Q37)) *'13 Space Heating Costs'!$C$14:$AW$14)</f>
        <v>10461.652351903416</v>
      </c>
      <c r="AE19" s="72"/>
      <c r="AF19" s="1105"/>
      <c r="AG19" s="182" t="s">
        <v>86</v>
      </c>
      <c r="AH19" s="182" t="s">
        <v>243</v>
      </c>
      <c r="AI19" s="140" cm="1">
        <f t="array" ref="AI19">SUMPRODUCT(ISNUMBER( SEARCH('13 Space Heating Costs'!$C$7:$AW$7,'12 Space Heating Subcomponents'!G53)) *'13 Space Heating Costs'!$C$14:$AW$14)</f>
        <v>2223.9022424233153</v>
      </c>
      <c r="AJ19" s="140" cm="1">
        <f t="array" ref="AJ19">SUMPRODUCT(ISNUMBER( SEARCH('13 Space Heating Costs'!$C$7:$AW$7,'12 Space Heating Subcomponents'!H53)) *'13 Space Heating Costs'!$C$14:$AW$14)</f>
        <v>3574.4951267942088</v>
      </c>
      <c r="AK19" s="140" cm="1">
        <f t="array" ref="AK19">SUMPRODUCT(ISNUMBER( SEARCH('13 Space Heating Costs'!$C$7:$AW$7,'12 Space Heating Subcomponents'!I53)) *'13 Space Heating Costs'!$C$14:$AW$14)</f>
        <v>5685.9183524980626</v>
      </c>
      <c r="AL19" s="140" cm="1">
        <f t="array" ref="AL19">SUMPRODUCT(ISNUMBER( SEARCH('13 Space Heating Costs'!$C$7:$AW$7,'12 Space Heating Subcomponents'!J53)) *'13 Space Heating Costs'!$C$14:$AW$14)</f>
        <v>7043.3410365370764</v>
      </c>
      <c r="AM19" s="140" cm="1">
        <f t="array" ref="AM19">SUMPRODUCT(ISNUMBER( SEARCH('13 Space Heating Costs'!$C$7:$AW$7,'12 Space Heating Subcomponents'!K53)) *'13 Space Heating Costs'!$C$14:$AW$14)</f>
        <v>2739.0749532111322</v>
      </c>
      <c r="AN19" s="140" cm="1">
        <f t="array" ref="AN19">SUMPRODUCT(ISNUMBER( SEARCH('13 Space Heating Costs'!$C$7:$AW$7,'12 Space Heating Subcomponents'!L53)) *'13 Space Heating Costs'!$C$14:$AW$14)</f>
        <v>6156.697365443094</v>
      </c>
      <c r="AO19" s="140" cm="1">
        <f t="array" ref="AO19">SUMPRODUCT(ISNUMBER( SEARCH('13 Space Heating Costs'!$C$7:$AW$7,'12 Space Heating Subcomponents'!M53)) *'13 Space Heating Costs'!$C$14:$AW$14)</f>
        <v>3302.5334258311004</v>
      </c>
      <c r="AP19" s="140" cm="1">
        <f t="array" ref="AP19">SUMPRODUCT(ISNUMBER( SEARCH('13 Space Heating Costs'!$C$7:$AW$7,'12 Space Heating Subcomponents'!N53)) *'13 Space Heating Costs'!$C$14:$AW$14)</f>
        <v>6900.0783730701205</v>
      </c>
      <c r="AQ19" s="140" cm="1">
        <f t="array" ref="AQ19">SUMPRODUCT(ISNUMBER( SEARCH('13 Space Heating Costs'!$C$7:$AW$7,'12 Space Heating Subcomponents'!O53)) *'13 Space Heating Costs'!$C$14:$AW$14)</f>
        <v>3302.5334258311004</v>
      </c>
      <c r="AR19" s="139"/>
      <c r="AS19" s="402" cm="1">
        <f t="array" ref="AS19">SUMPRODUCT(ISNUMBER( SEARCH('13 Space Heating Costs'!$C$7:$AW$7,'12 Space Heating Subcomponents'!Q53)) *'13 Space Heating Costs'!$C$14:$AW$14)</f>
        <v>9076.4367235647478</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Costs'!$C$14:$AW$14)</f>
        <v>3921.8612434739089</v>
      </c>
      <c r="F20" s="403" cm="1">
        <f t="array" ref="F20">SUMPRODUCT(ISNUMBER( SEARCH('13 Space Heating Costs'!$C$7:$AW$7,'12 Space Heating Subcomponents'!H22)) *'13 Space Heating Costs'!$C$14:$AW$14)</f>
        <v>5272.4541278448032</v>
      </c>
      <c r="G20" s="403" cm="1">
        <f t="array" ref="G20">SUMPRODUCT(ISNUMBER( SEARCH('13 Space Heating Costs'!$C$7:$AW$7,'12 Space Heating Subcomponents'!I22)) *'13 Space Heating Costs'!$C$14:$AW$14)</f>
        <v>3915.0314438057881</v>
      </c>
      <c r="H20" s="403" cm="1">
        <f t="array" ref="H20">SUMPRODUCT(ISNUMBER( SEARCH('13 Space Heating Costs'!$C$7:$AW$7,'12 Space Heating Subcomponents'!J22)) *'13 Space Heating Costs'!$C$14:$AW$14)</f>
        <v>5272.4541278448032</v>
      </c>
      <c r="I20" s="403" cm="1">
        <f t="array" ref="I20">SUMPRODUCT(ISNUMBER( SEARCH('13 Space Heating Costs'!$C$7:$AW$7,'12 Space Heating Subcomponents'!K22)) *'13 Space Heating Costs'!$C$14:$AW$14)</f>
        <v>3761.3609512730695</v>
      </c>
      <c r="J20" s="403" cm="1">
        <f t="array" ref="J20">SUMPRODUCT(ISNUMBER( SEARCH('13 Space Heating Costs'!$C$7:$AW$7,'12 Space Heating Subcomponents'!L22)) *'13 Space Heating Costs'!$C$14:$AW$14)</f>
        <v>3710.1374537621632</v>
      </c>
      <c r="K20" s="403" cm="1">
        <f t="array" ref="K20">SUMPRODUCT(ISNUMBER( SEARCH('13 Space Heating Costs'!$C$7:$AW$7,'12 Space Heating Subcomponents'!M22)) *'13 Space Heating Costs'!$C$14:$AW$14)</f>
        <v>4324.8194238930382</v>
      </c>
      <c r="L20" s="403" cm="1">
        <f t="array" ref="L20">SUMPRODUCT(ISNUMBER( SEARCH('13 Space Heating Costs'!$C$7:$AW$7,'12 Space Heating Subcomponents'!N22)) *'13 Space Heating Costs'!$C$14:$AW$14)</f>
        <v>4453.5184613891897</v>
      </c>
      <c r="M20" s="403" cm="1">
        <f t="array" ref="M20">SUMPRODUCT(ISNUMBER( SEARCH('13 Space Heating Costs'!$C$7:$AW$7,'12 Space Heating Subcomponents'!O22)) *'13 Space Heating Costs'!$C$14:$AW$14)</f>
        <v>4324.8194238930382</v>
      </c>
      <c r="N20" s="403" cm="1">
        <f t="array" ref="N20">SUMPRODUCT(ISNUMBER( SEARCH('13 Space Heating Costs'!$C$7:$AW$7,'12 Space Heating Subcomponents'!P22)) *'13 Space Heating Costs'!$C$14:$AW$14)</f>
        <v>4913.8896452684594</v>
      </c>
      <c r="O20" s="516"/>
      <c r="P20" s="58"/>
      <c r="Q20" s="1106"/>
      <c r="R20" s="366" t="s">
        <v>252</v>
      </c>
      <c r="S20" s="366" t="s">
        <v>253</v>
      </c>
      <c r="T20" s="403" cm="1">
        <f t="array" ref="T20">SUMPRODUCT(ISNUMBER( SEARCH('13 Space Heating Costs'!$C$7:$AW$7,'12 Space Heating Subcomponents'!G38)) *'13 Space Heating Costs'!$C$14:$AW$14)</f>
        <v>3921.8612434739089</v>
      </c>
      <c r="U20" s="403" cm="1">
        <f t="array" ref="U20">SUMPRODUCT(ISNUMBER( SEARCH('13 Space Heating Costs'!$C$7:$AW$7,'12 Space Heating Subcomponents'!H38)) *'13 Space Heating Costs'!$C$14:$AW$14)</f>
        <v>5272.4541278448032</v>
      </c>
      <c r="V20" s="403" cm="1">
        <f t="array" ref="V20">SUMPRODUCT(ISNUMBER( SEARCH('13 Space Heating Costs'!$C$7:$AW$7,'12 Space Heating Subcomponents'!I38)) *'13 Space Heating Costs'!$C$14:$AW$14)</f>
        <v>3915.0314438057881</v>
      </c>
      <c r="W20" s="403" cm="1">
        <f t="array" ref="W20">SUMPRODUCT(ISNUMBER( SEARCH('13 Space Heating Costs'!$C$7:$AW$7,'12 Space Heating Subcomponents'!J38)) *'13 Space Heating Costs'!$C$14:$AW$14)</f>
        <v>5272.4541278448032</v>
      </c>
      <c r="X20" s="403" cm="1">
        <f t="array" ref="X20">SUMPRODUCT(ISNUMBER( SEARCH('13 Space Heating Costs'!$C$7:$AW$7,'12 Space Heating Subcomponents'!K38)) *'13 Space Heating Costs'!$C$14:$AW$14)</f>
        <v>3761.3609512730695</v>
      </c>
      <c r="Y20" s="403" cm="1">
        <f t="array" ref="Y20">SUMPRODUCT(ISNUMBER( SEARCH('13 Space Heating Costs'!$C$7:$AW$7,'12 Space Heating Subcomponents'!L38)) *'13 Space Heating Costs'!$C$14:$AW$14)</f>
        <v>3710.1374537621632</v>
      </c>
      <c r="Z20" s="403" cm="1">
        <f t="array" ref="Z20">SUMPRODUCT(ISNUMBER( SEARCH('13 Space Heating Costs'!$C$7:$AW$7,'12 Space Heating Subcomponents'!M38)) *'13 Space Heating Costs'!$C$14:$AW$14)</f>
        <v>4324.8194238930382</v>
      </c>
      <c r="AA20" s="403" cm="1">
        <f t="array" ref="AA20">SUMPRODUCT(ISNUMBER( SEARCH('13 Space Heating Costs'!$C$7:$AW$7,'12 Space Heating Subcomponents'!N38)) *'13 Space Heating Costs'!$C$14:$AW$14)</f>
        <v>4453.5184613891897</v>
      </c>
      <c r="AB20" s="403" cm="1">
        <f t="array" ref="AB20">SUMPRODUCT(ISNUMBER( SEARCH('13 Space Heating Costs'!$C$7:$AW$7,'12 Space Heating Subcomponents'!O38)) *'13 Space Heating Costs'!$C$14:$AW$14)</f>
        <v>4324.8194238930382</v>
      </c>
      <c r="AC20" s="403" cm="1">
        <f t="array" ref="AC20">SUMPRODUCT(ISNUMBER( SEARCH('13 Space Heating Costs'!$C$7:$AW$7,'12 Space Heating Subcomponents'!P38)) *'13 Space Heating Costs'!$C$14:$AW$14)</f>
        <v>4913.8896452684594</v>
      </c>
      <c r="AD20" s="516"/>
      <c r="AE20" s="58"/>
      <c r="AF20" s="1106"/>
      <c r="AG20" s="366" t="s">
        <v>252</v>
      </c>
      <c r="AH20" s="366" t="s">
        <v>253</v>
      </c>
      <c r="AI20" s="403" cm="1">
        <f t="array" ref="AI20">SUMPRODUCT(ISNUMBER( SEARCH('13 Space Heating Costs'!$C$7:$AW$7,'12 Space Heating Subcomponents'!G54)) *'13 Space Heating Costs'!$C$14:$AW$14)</f>
        <v>3921.8612434739089</v>
      </c>
      <c r="AJ20" s="403" cm="1">
        <f t="array" ref="AJ20">SUMPRODUCT(ISNUMBER( SEARCH('13 Space Heating Costs'!$C$7:$AW$7,'12 Space Heating Subcomponents'!H54)) *'13 Space Heating Costs'!$C$14:$AW$14)</f>
        <v>5272.4541278448032</v>
      </c>
      <c r="AK20" s="403" cm="1">
        <f t="array" ref="AK20">SUMPRODUCT(ISNUMBER( SEARCH('13 Space Heating Costs'!$C$7:$AW$7,'12 Space Heating Subcomponents'!I54)) *'13 Space Heating Costs'!$C$14:$AW$14)</f>
        <v>3915.0314438057881</v>
      </c>
      <c r="AL20" s="403" cm="1">
        <f t="array" ref="AL20">SUMPRODUCT(ISNUMBER( SEARCH('13 Space Heating Costs'!$C$7:$AW$7,'12 Space Heating Subcomponents'!J54)) *'13 Space Heating Costs'!$C$14:$AW$14)</f>
        <v>5272.4541278448032</v>
      </c>
      <c r="AM20" s="403" cm="1">
        <f t="array" ref="AM20">SUMPRODUCT(ISNUMBER( SEARCH('13 Space Heating Costs'!$C$7:$AW$7,'12 Space Heating Subcomponents'!K54)) *'13 Space Heating Costs'!$C$14:$AW$14)</f>
        <v>3761.3609512730695</v>
      </c>
      <c r="AN20" s="403" cm="1">
        <f t="array" ref="AN20">SUMPRODUCT(ISNUMBER( SEARCH('13 Space Heating Costs'!$C$7:$AW$7,'12 Space Heating Subcomponents'!L54)) *'13 Space Heating Costs'!$C$14:$AW$14)</f>
        <v>3710.1374537621632</v>
      </c>
      <c r="AO20" s="403" cm="1">
        <f t="array" ref="AO20">SUMPRODUCT(ISNUMBER( SEARCH('13 Space Heating Costs'!$C$7:$AW$7,'12 Space Heating Subcomponents'!M54)) *'13 Space Heating Costs'!$C$14:$AW$14)</f>
        <v>4324.8194238930382</v>
      </c>
      <c r="AP20" s="403" cm="1">
        <f t="array" ref="AP20">SUMPRODUCT(ISNUMBER( SEARCH('13 Space Heating Costs'!$C$7:$AW$7,'12 Space Heating Subcomponents'!N54)) *'13 Space Heating Costs'!$C$14:$AW$14)</f>
        <v>4453.5184613891897</v>
      </c>
      <c r="AQ20" s="403" cm="1">
        <f t="array" ref="AQ20">SUMPRODUCT(ISNUMBER( SEARCH('13 Space Heating Costs'!$C$7:$AW$7,'12 Space Heating Subcomponents'!O54)) *'13 Space Heating Costs'!$C$14:$AW$14)</f>
        <v>4324.8194238930382</v>
      </c>
      <c r="AR20" s="403" cm="1">
        <f t="array" ref="AR20">SUMPRODUCT(ISNUMBER( SEARCH('13 Space Heating Costs'!$C$7:$AW$7,'12 Space Heating Subcomponents'!P54)) *'13 Space Heating Costs'!$C$14:$AW$14)</f>
        <v>4913.8896452684594</v>
      </c>
      <c r="AS20" s="516"/>
      <c r="AT20" s="58"/>
    </row>
    <row r="21" spans="1:46" s="61" customFormat="1" ht="80.099999999999994"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A22" s="673"/>
      <c r="B22" s="1107" t="s">
        <v>1070</v>
      </c>
      <c r="C22" s="1108"/>
      <c r="D22" s="1108"/>
      <c r="E22" s="1108"/>
      <c r="F22" s="1108"/>
      <c r="G22" s="1108"/>
      <c r="H22" s="1109"/>
      <c r="I22"/>
      <c r="Q22" s="1107" t="s">
        <v>1071</v>
      </c>
      <c r="R22" s="1108"/>
      <c r="S22" s="1108"/>
      <c r="T22" s="1108"/>
      <c r="U22" s="1108"/>
      <c r="V22" s="1108"/>
      <c r="W22" s="1109"/>
      <c r="X22"/>
      <c r="AF22" s="1107" t="s">
        <v>1077</v>
      </c>
      <c r="AG22" s="1108"/>
      <c r="AH22" s="1108"/>
      <c r="AI22" s="1108"/>
      <c r="AJ22" s="1108"/>
      <c r="AK22" s="1108"/>
      <c r="AL22" s="1109"/>
      <c r="AM22" s="673"/>
      <c r="AN22" s="673"/>
      <c r="AO22" s="673"/>
      <c r="AP22" s="673"/>
      <c r="AQ22" s="673"/>
    </row>
    <row r="23" spans="1:46" s="5" customFormat="1" ht="79.900000000000006"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c r="AM23" s="675"/>
      <c r="AN23" s="675"/>
      <c r="AO23" s="675"/>
      <c r="AP23" s="675"/>
      <c r="AQ23" s="675"/>
    </row>
    <row r="24" spans="1:46" s="5" customFormat="1" ht="79.900000000000006"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c r="AM24" s="672"/>
      <c r="AN24" s="672"/>
      <c r="AO24" s="672"/>
      <c r="AP24" s="672"/>
      <c r="AQ24" s="672"/>
    </row>
    <row r="25" spans="1:46" s="5" customFormat="1" ht="79.900000000000006" customHeight="1" x14ac:dyDescent="0.25">
      <c r="B25" s="1114"/>
      <c r="C25" s="1115"/>
      <c r="D25" s="1122"/>
      <c r="E25" s="1122"/>
      <c r="F25" s="1122"/>
      <c r="G25" s="1122"/>
      <c r="H25" s="1124"/>
      <c r="I25"/>
      <c r="Q25" s="1114"/>
      <c r="R25" s="1115"/>
      <c r="S25" s="1122"/>
      <c r="T25" s="1122"/>
      <c r="U25" s="1122"/>
      <c r="V25" s="1122"/>
      <c r="W25" s="1124"/>
      <c r="X25"/>
      <c r="AF25" s="1114"/>
      <c r="AG25" s="1115"/>
      <c r="AH25" s="179"/>
      <c r="AI25" s="179"/>
      <c r="AJ25" s="179"/>
      <c r="AK25" s="179"/>
      <c r="AL25" s="180"/>
      <c r="AM25" s="676"/>
      <c r="AN25" s="676"/>
      <c r="AO25" s="676"/>
      <c r="AP25" s="676"/>
      <c r="AQ25" s="676"/>
    </row>
    <row r="26" spans="1:46" s="5" customFormat="1" ht="199.9" customHeight="1" x14ac:dyDescent="0.25">
      <c r="B26" s="1104" t="s">
        <v>952</v>
      </c>
      <c r="C26" s="149" t="s">
        <v>246</v>
      </c>
      <c r="D26" s="143" cm="1">
        <f t="array" ref="D26">SUMPRODUCT(ISNUMBER(SEARCH('16 Water Heating Costs'!$E$42:$AE$42,'16 Water Heating Costs'!F10)) *'16 Water Heating Costs'!$E$49:$AE$49)</f>
        <v>0</v>
      </c>
      <c r="E26" s="143" cm="1">
        <f t="array" ref="E26">SUMPRODUCT(ISNUMBER(SEARCH('16 Water Heating Costs'!$E$42:$AE$42,'16 Water Heating Costs'!G10)) *'16 Water Heating Costs'!$E$49:$AE$49)</f>
        <v>1145.556993320414</v>
      </c>
      <c r="F26" s="143" cm="1">
        <f t="array" ref="F26">SUMPRODUCT(ISNUMBER(SEARCH('16 Water Heating Costs'!$E$42:$AE$42,'16 Water Heating Costs'!H10)) *'16 Water Heating Costs'!$E$49:$AE$49)</f>
        <v>1145.556993320414</v>
      </c>
      <c r="G26" s="143" cm="1">
        <f t="array" ref="G26">SUMPRODUCT(ISNUMBER(SEARCH('16 Water Heating Costs'!$E$42:$AE$42,'16 Water Heating Costs'!I10)) *'16 Water Heating Costs'!$E$49:$AE$49)</f>
        <v>1145.556993320414</v>
      </c>
      <c r="H26" s="150" cm="1">
        <f t="array" ref="H26">SUMPRODUCT(ISNUMBER(SEARCH('16 Water Heating Costs'!$E$42:$AE$42,'16 Water Heating Costs'!J10)) *'16 Water Heating Costs'!$E$49:$AE$49)</f>
        <v>900.68358859944465</v>
      </c>
      <c r="I26"/>
      <c r="Q26" s="1104" t="s">
        <v>952</v>
      </c>
      <c r="R26" s="149" t="s">
        <v>246</v>
      </c>
      <c r="S26" s="143" cm="1">
        <f t="array" ref="S26">SUMPRODUCT(ISNUMBER(SEARCH('16 Water Heating Costs'!$E$42:$AE$42,'16 Water Heating Costs'!N10)) *'16 Water Heating Costs'!$E$49:$AE$49)</f>
        <v>0</v>
      </c>
      <c r="T26" s="143" cm="1">
        <f t="array" ref="T26">SUMPRODUCT(ISNUMBER(SEARCH('16 Water Heating Costs'!$E$42:$AE$42,'16 Water Heating Costs'!O10)) *'16 Water Heating Costs'!$E$49:$AE$49)</f>
        <v>1145.556993320414</v>
      </c>
      <c r="U26" s="143" cm="1">
        <f t="array" ref="U26">SUMPRODUCT(ISNUMBER(SEARCH('16 Water Heating Costs'!$E$42:$AE$42,'16 Water Heating Costs'!P10)) *'16 Water Heating Costs'!$E$49:$AE$49)</f>
        <v>1145.556993320414</v>
      </c>
      <c r="V26" s="143" cm="1">
        <f t="array" ref="V26">SUMPRODUCT(ISNUMBER(SEARCH('16 Water Heating Costs'!$E$42:$AE$42,'16 Water Heating Costs'!Q10)) *'16 Water Heating Costs'!$E$49:$AE$49)</f>
        <v>1145.556993320414</v>
      </c>
      <c r="W26" s="150" cm="1">
        <f t="array" ref="W26">SUMPRODUCT(ISNUMBER(SEARCH('16 Water Heating Costs'!$E$42:$AE$42,'16 Water Heating Costs'!R10)) *'16 Water Heating Costs'!$E$49:$AE$49)</f>
        <v>900.68358859944465</v>
      </c>
      <c r="X26"/>
      <c r="AF26" s="1104" t="s">
        <v>952</v>
      </c>
      <c r="AG26" s="149" t="s">
        <v>246</v>
      </c>
      <c r="AH26" s="143" cm="1">
        <f t="array" ref="AH26">SUMPRODUCT(ISNUMBER(SEARCH('16 Water Heating Costs'!$E$42:$AE$42,'16 Water Heating Costs'!V10)) *'16 Water Heating Costs'!$E$49:$AE$49)</f>
        <v>0</v>
      </c>
      <c r="AI26" s="143" cm="1">
        <f t="array" ref="AI26">SUMPRODUCT(ISNUMBER(SEARCH('16 Water Heating Costs'!$E$42:$AE$42,'16 Water Heating Costs'!W10)) *'16 Water Heating Costs'!$E$49:$AE$49)</f>
        <v>1145.556993320414</v>
      </c>
      <c r="AJ26" s="143" cm="1">
        <f t="array" ref="AJ26">SUMPRODUCT(ISNUMBER(SEARCH('16 Water Heating Costs'!$E$42:$AE$42,'16 Water Heating Costs'!X10)) *'16 Water Heating Costs'!$E$49:$AE$49)</f>
        <v>1145.556993320414</v>
      </c>
      <c r="AK26" s="143" cm="1">
        <f t="array" ref="AK26">SUMPRODUCT(ISNUMBER(SEARCH('16 Water Heating Costs'!$E$42:$AE$42,'16 Water Heating Costs'!Y10)) *'16 Water Heating Costs'!$E$49:$AE$49)</f>
        <v>1145.556993320414</v>
      </c>
      <c r="AL26" s="150" cm="1">
        <f t="array" ref="AL26">SUMPRODUCT(ISNUMBER(SEARCH('16 Water Heating Costs'!$E$42:$AE$42,'16 Water Heating Costs'!Z10)) *'16 Water Heating Costs'!$E$49:$AE$49)</f>
        <v>900.68358859944465</v>
      </c>
      <c r="AM26" s="681"/>
      <c r="AN26" s="681"/>
      <c r="AO26" s="681"/>
      <c r="AP26" s="681"/>
      <c r="AQ26" s="681"/>
    </row>
    <row r="27" spans="1:46" s="5" customFormat="1" ht="199.9" customHeight="1" x14ac:dyDescent="0.25">
      <c r="B27" s="1105"/>
      <c r="C27" s="152" t="s">
        <v>244</v>
      </c>
      <c r="D27" s="142"/>
      <c r="E27" s="142"/>
      <c r="F27" s="142"/>
      <c r="G27" s="142"/>
      <c r="H27" s="144"/>
      <c r="I27"/>
      <c r="Q27" s="1105"/>
      <c r="R27" s="152" t="s">
        <v>244</v>
      </c>
      <c r="S27" s="142"/>
      <c r="T27" s="142"/>
      <c r="U27" s="142"/>
      <c r="V27" s="142"/>
      <c r="W27" s="144"/>
      <c r="X27"/>
      <c r="AF27" s="1119"/>
      <c r="AG27" s="152" t="s">
        <v>244</v>
      </c>
      <c r="AH27" s="142"/>
      <c r="AI27" s="142"/>
      <c r="AJ27" s="142"/>
      <c r="AK27" s="142"/>
      <c r="AL27" s="144"/>
      <c r="AM27" s="681"/>
      <c r="AN27" s="681"/>
      <c r="AO27" s="681"/>
      <c r="AP27" s="681"/>
      <c r="AQ27" s="681"/>
    </row>
    <row r="28" spans="1:46" s="5" customFormat="1" ht="199.9" customHeight="1" x14ac:dyDescent="0.25">
      <c r="B28" s="1105"/>
      <c r="C28" s="152" t="s">
        <v>86</v>
      </c>
      <c r="D28" s="143" cm="1">
        <f t="array" ref="D28">SUMPRODUCT(ISNUMBER(SEARCH('16 Water Heating Costs'!$E$42:$AE$42,'16 Water Heating Costs'!F12)) *'16 Water Heating Costs'!$E$49:$AE$49)</f>
        <v>3919.5295666295765</v>
      </c>
      <c r="E28" s="143" cm="1">
        <f t="array" ref="E28">SUMPRODUCT(ISNUMBER(SEARCH('16 Water Heating Costs'!$E$42:$AE$42,'16 Water Heating Costs'!G12)) *'16 Water Heating Costs'!$E$49:$AE$49)</f>
        <v>3408.7299683618894</v>
      </c>
      <c r="F28" s="143" cm="1">
        <f t="array" ref="F28">SUMPRODUCT(ISNUMBER(SEARCH('16 Water Heating Costs'!$E$42:$AE$42,'16 Water Heating Costs'!H12)) *'16 Water Heating Costs'!$E$49:$AE$49)</f>
        <v>2477.243652742412</v>
      </c>
      <c r="G28" s="143" cm="1">
        <f t="array" ref="G28">SUMPRODUCT(ISNUMBER(SEARCH('16 Water Heating Costs'!$E$42:$AE$42,'16 Water Heating Costs'!I12)) *'16 Water Heating Costs'!$E$49:$AE$49)</f>
        <v>3408.7299683618894</v>
      </c>
      <c r="H28" s="150" cm="1">
        <f t="array" ref="H28">SUMPRODUCT(ISNUMBER(SEARCH('16 Water Heating Costs'!$E$42:$AE$42,'16 Water Heating Costs'!J12)) *'16 Water Heating Costs'!$E$49:$AE$49)</f>
        <v>3919.5295666295765</v>
      </c>
      <c r="I28"/>
      <c r="Q28" s="1105"/>
      <c r="R28" s="152" t="s">
        <v>86</v>
      </c>
      <c r="S28" s="143" cm="1">
        <f t="array" ref="S28">SUMPRODUCT(ISNUMBER(SEARCH('16 Water Heating Costs'!$E$42:$AE$42,'16 Water Heating Costs'!N12)) *'16 Water Heating Costs'!$E$49:$AE$49)</f>
        <v>4385.3976811499815</v>
      </c>
      <c r="T28" s="143" cm="1">
        <f t="array" ref="T28">SUMPRODUCT(ISNUMBER(SEARCH('16 Water Heating Costs'!$E$42:$AE$42,'16 Water Heating Costs'!O12)) *'16 Water Heating Costs'!$E$49:$AE$49)</f>
        <v>3874.5980828822949</v>
      </c>
      <c r="U28" s="143" cm="1">
        <f t="array" ref="U28">SUMPRODUCT(ISNUMBER(SEARCH('16 Water Heating Costs'!$E$42:$AE$42,'16 Water Heating Costs'!P12)) *'16 Water Heating Costs'!$E$49:$AE$49)</f>
        <v>2943.111767262817</v>
      </c>
      <c r="V28" s="143" cm="1">
        <f t="array" ref="V28">SUMPRODUCT(ISNUMBER(SEARCH('16 Water Heating Costs'!$E$42:$AE$42,'16 Water Heating Costs'!Q12)) *'16 Water Heating Costs'!$E$49:$AE$49)</f>
        <v>3874.5980828822949</v>
      </c>
      <c r="W28" s="150" cm="1">
        <f t="array" ref="W28">SUMPRODUCT(ISNUMBER(SEARCH('16 Water Heating Costs'!$E$42:$AE$42,'16 Water Heating Costs'!R12)) *'16 Water Heating Costs'!$E$49:$AE$49)</f>
        <v>4385.3976811499815</v>
      </c>
      <c r="X28"/>
      <c r="AF28" s="1119"/>
      <c r="AG28" s="152" t="s">
        <v>86</v>
      </c>
      <c r="AH28" s="143" cm="1">
        <f t="array" ref="AH28">SUMPRODUCT(ISNUMBER(SEARCH('16 Water Heating Costs'!$E$42:$AE$42,'16 Water Heating Costs'!V12)) *'16 Water Heating Costs'!$E$49:$AE$49)</f>
        <v>3243.1136866567731</v>
      </c>
      <c r="AI28" s="143" cm="1">
        <f t="array" ref="AI28">SUMPRODUCT(ISNUMBER(SEARCH('16 Water Heating Costs'!$E$42:$AE$42,'16 Water Heating Costs'!W12)) *'16 Water Heating Costs'!$E$49:$AE$49)</f>
        <v>2732.314088389086</v>
      </c>
      <c r="AJ28" s="143" cm="1">
        <f t="array" ref="AJ28">SUMPRODUCT(ISNUMBER(SEARCH('16 Water Heating Costs'!$E$42:$AE$42,'16 Water Heating Costs'!X12)) *'16 Water Heating Costs'!$E$49:$AE$49)</f>
        <v>1800.8277727696084</v>
      </c>
      <c r="AK28" s="143" cm="1">
        <f t="array" ref="AK28">SUMPRODUCT(ISNUMBER(SEARCH('16 Water Heating Costs'!$E$42:$AE$42,'16 Water Heating Costs'!Y12)) *'16 Water Heating Costs'!$E$49:$AE$49)</f>
        <v>2732.314088389086</v>
      </c>
      <c r="AL28" s="150" cm="1">
        <f t="array" ref="AL28">SUMPRODUCT(ISNUMBER(SEARCH('16 Water Heating Costs'!$E$42:$AE$42,'16 Water Heating Costs'!Z12)) *'16 Water Heating Costs'!$E$49:$AE$49)</f>
        <v>3243.1136866567731</v>
      </c>
      <c r="AM28" s="681"/>
      <c r="AN28" s="681"/>
      <c r="AO28" s="681"/>
      <c r="AP28" s="681"/>
      <c r="AQ28" s="681"/>
    </row>
    <row r="29" spans="1:46" s="5" customFormat="1" ht="199.9" customHeight="1" x14ac:dyDescent="0.25">
      <c r="B29" s="1105"/>
      <c r="C29" s="152" t="s">
        <v>242</v>
      </c>
      <c r="D29" s="143" cm="1">
        <f t="array" ref="D29">SUMPRODUCT(ISNUMBER(SEARCH('16 Water Heating Costs'!$E$42:$AE$42,'16 Water Heating Costs'!F13)) *'16 Water Heating Costs'!$E$49:$AE$49)</f>
        <v>3919.5295666295765</v>
      </c>
      <c r="E29" s="143" cm="1">
        <f t="array" ref="E29">SUMPRODUCT(ISNUMBER(SEARCH('16 Water Heating Costs'!$E$42:$AE$42,'16 Water Heating Costs'!G13)) *'16 Water Heating Costs'!$E$49:$AE$49)</f>
        <v>3408.7299683618894</v>
      </c>
      <c r="F29" s="143" cm="1">
        <f t="array" ref="F29">SUMPRODUCT(ISNUMBER(SEARCH('16 Water Heating Costs'!$E$42:$AE$42,'16 Water Heating Costs'!H13)) *'16 Water Heating Costs'!$E$49:$AE$49)</f>
        <v>3408.7299683618894</v>
      </c>
      <c r="G29" s="143" cm="1">
        <f t="array" ref="G29">SUMPRODUCT(ISNUMBER(SEARCH('16 Water Heating Costs'!$E$42:$AE$42,'16 Water Heating Costs'!I13)) *'16 Water Heating Costs'!$E$49:$AE$49)</f>
        <v>2477.243652742412</v>
      </c>
      <c r="H29" s="150" cm="1">
        <f t="array" ref="H29">SUMPRODUCT(ISNUMBER(SEARCH('16 Water Heating Costs'!$E$42:$AE$42,'16 Water Heating Costs'!J13)) *'16 Water Heating Costs'!$E$49:$AE$49)</f>
        <v>3919.5295666295765</v>
      </c>
      <c r="I29"/>
      <c r="Q29" s="1105"/>
      <c r="R29" s="152" t="s">
        <v>242</v>
      </c>
      <c r="S29" s="143" cm="1">
        <f t="array" ref="S29">SUMPRODUCT(ISNUMBER(SEARCH('16 Water Heating Costs'!$E$42:$AE$42,'16 Water Heating Costs'!N13)) *'16 Water Heating Costs'!$E$49:$AE$49)</f>
        <v>4385.3976811499815</v>
      </c>
      <c r="T29" s="143" cm="1">
        <f t="array" ref="T29">SUMPRODUCT(ISNUMBER(SEARCH('16 Water Heating Costs'!$E$42:$AE$42,'16 Water Heating Costs'!O13)) *'16 Water Heating Costs'!$E$49:$AE$49)</f>
        <v>3874.5980828822949</v>
      </c>
      <c r="U29" s="143" cm="1">
        <f t="array" ref="U29">SUMPRODUCT(ISNUMBER(SEARCH('16 Water Heating Costs'!$E$42:$AE$42,'16 Water Heating Costs'!P13)) *'16 Water Heating Costs'!$E$49:$AE$49)</f>
        <v>3874.5980828822949</v>
      </c>
      <c r="V29" s="143" cm="1">
        <f t="array" ref="V29">SUMPRODUCT(ISNUMBER(SEARCH('16 Water Heating Costs'!$E$42:$AE$42,'16 Water Heating Costs'!Q13)) *'16 Water Heating Costs'!$E$49:$AE$49)</f>
        <v>2943.111767262817</v>
      </c>
      <c r="W29" s="150" cm="1">
        <f t="array" ref="W29">SUMPRODUCT(ISNUMBER(SEARCH('16 Water Heating Costs'!$E$42:$AE$42,'16 Water Heating Costs'!R13)) *'16 Water Heating Costs'!$E$49:$AE$49)</f>
        <v>4385.3976811499815</v>
      </c>
      <c r="X29"/>
      <c r="AF29" s="1119"/>
      <c r="AG29" s="152" t="s">
        <v>242</v>
      </c>
      <c r="AH29" s="143" cm="1">
        <f t="array" ref="AH29">SUMPRODUCT(ISNUMBER(SEARCH('16 Water Heating Costs'!$E$42:$AE$42,'16 Water Heating Costs'!V13)) *'16 Water Heating Costs'!$E$49:$AE$49)</f>
        <v>3243.1136866567731</v>
      </c>
      <c r="AI29" s="143" cm="1">
        <f t="array" ref="AI29">SUMPRODUCT(ISNUMBER(SEARCH('16 Water Heating Costs'!$E$42:$AE$42,'16 Water Heating Costs'!W13)) *'16 Water Heating Costs'!$E$49:$AE$49)</f>
        <v>2732.314088389086</v>
      </c>
      <c r="AJ29" s="143" cm="1">
        <f t="array" ref="AJ29">SUMPRODUCT(ISNUMBER(SEARCH('16 Water Heating Costs'!$E$42:$AE$42,'16 Water Heating Costs'!X13)) *'16 Water Heating Costs'!$E$49:$AE$49)</f>
        <v>2732.314088389086</v>
      </c>
      <c r="AK29" s="143" cm="1">
        <f t="array" ref="AK29">SUMPRODUCT(ISNUMBER(SEARCH('16 Water Heating Costs'!$E$42:$AE$42,'16 Water Heating Costs'!Y13)) *'16 Water Heating Costs'!$E$49:$AE$49)</f>
        <v>1800.8277727696084</v>
      </c>
      <c r="AL29" s="150" cm="1">
        <f t="array" ref="AL29">SUMPRODUCT(ISNUMBER(SEARCH('16 Water Heating Costs'!$E$42:$AE$42,'16 Water Heating Costs'!Z13)) *'16 Water Heating Costs'!$E$49:$AE$49)</f>
        <v>3243.1136866567731</v>
      </c>
      <c r="AM29" s="681"/>
      <c r="AN29" s="681"/>
      <c r="AO29" s="681"/>
      <c r="AP29" s="681"/>
      <c r="AQ29" s="681"/>
    </row>
    <row r="30" spans="1:46" s="5" customFormat="1" ht="199.9" customHeight="1" thickBot="1" x14ac:dyDescent="0.3">
      <c r="B30" s="1106"/>
      <c r="C30" s="153" t="s">
        <v>172</v>
      </c>
      <c r="D30" s="145"/>
      <c r="E30" s="145"/>
      <c r="F30" s="145"/>
      <c r="G30" s="145"/>
      <c r="H30" s="426"/>
      <c r="I30"/>
      <c r="Q30" s="1106"/>
      <c r="R30" s="153" t="s">
        <v>172</v>
      </c>
      <c r="S30" s="145"/>
      <c r="T30" s="145"/>
      <c r="U30" s="145"/>
      <c r="V30" s="145"/>
      <c r="W30" s="426"/>
      <c r="X30"/>
      <c r="AF30" s="1120"/>
      <c r="AG30" s="153" t="s">
        <v>172</v>
      </c>
      <c r="AH30" s="145"/>
      <c r="AI30" s="145"/>
      <c r="AJ30" s="145"/>
      <c r="AK30" s="145"/>
      <c r="AL30" s="426"/>
      <c r="AM30" s="681"/>
      <c r="AN30" s="681"/>
      <c r="AO30" s="681"/>
      <c r="AP30" s="681"/>
      <c r="AQ30" s="681"/>
    </row>
    <row r="31" spans="1:46" s="59" customFormat="1" ht="80.099999999999994" customHeight="1" thickBot="1" x14ac:dyDescent="0.3">
      <c r="A31" s="154"/>
      <c r="B31"/>
      <c r="C31"/>
      <c r="D31"/>
      <c r="E31"/>
      <c r="F31"/>
      <c r="G31"/>
      <c r="H31"/>
      <c r="I31"/>
      <c r="J31" s="5"/>
      <c r="K31" s="5"/>
      <c r="L31" s="5"/>
      <c r="M31" s="5"/>
      <c r="N31" s="5"/>
      <c r="O31" s="5"/>
      <c r="P31" s="5"/>
      <c r="Q31"/>
      <c r="R31"/>
      <c r="S31"/>
      <c r="T31"/>
      <c r="U31"/>
      <c r="V31"/>
      <c r="W31"/>
      <c r="X31"/>
      <c r="Y31" s="5"/>
      <c r="Z31" s="5"/>
      <c r="AA31" s="5"/>
      <c r="AB31" s="5"/>
      <c r="AC31" s="5"/>
      <c r="AD31" s="5"/>
      <c r="AE31" s="5"/>
      <c r="AF31"/>
      <c r="AG31"/>
      <c r="AH31"/>
      <c r="AI31"/>
      <c r="AJ31"/>
      <c r="AK31"/>
      <c r="AL31"/>
    </row>
    <row r="32" spans="1:46" ht="175.15" customHeight="1" x14ac:dyDescent="0.25">
      <c r="A32" s="60"/>
      <c r="B32" s="1107" t="s">
        <v>1073</v>
      </c>
      <c r="C32" s="1108"/>
      <c r="D32" s="1108"/>
      <c r="E32" s="1108"/>
      <c r="F32" s="1108"/>
      <c r="G32" s="1108"/>
      <c r="H32" s="1109"/>
      <c r="I32"/>
      <c r="P32" s="5"/>
      <c r="Q32" s="1107" t="s">
        <v>1072</v>
      </c>
      <c r="R32" s="1108"/>
      <c r="S32" s="1108"/>
      <c r="T32" s="1108"/>
      <c r="U32" s="1108"/>
      <c r="V32" s="1108"/>
      <c r="W32" s="1109"/>
      <c r="X32"/>
      <c r="Y32" s="5"/>
      <c r="Z32" s="5"/>
      <c r="AA32" s="5"/>
      <c r="AB32" s="5"/>
      <c r="AC32" s="5"/>
      <c r="AD32" s="5"/>
      <c r="AE32" s="5"/>
      <c r="AF32" s="1107" t="s">
        <v>1078</v>
      </c>
      <c r="AG32" s="1108"/>
      <c r="AH32" s="1108"/>
      <c r="AI32" s="1108"/>
      <c r="AJ32" s="1108"/>
      <c r="AK32" s="1108"/>
      <c r="AL32" s="1109"/>
    </row>
    <row r="33" spans="1:38" ht="79.900000000000006" customHeight="1" x14ac:dyDescent="0.25">
      <c r="A33" s="60"/>
      <c r="B33" s="1110" t="s">
        <v>977</v>
      </c>
      <c r="C33" s="1111"/>
      <c r="D33" s="1116" t="s">
        <v>951</v>
      </c>
      <c r="E33" s="1117"/>
      <c r="F33" s="1117"/>
      <c r="G33" s="1117"/>
      <c r="H33" s="1118"/>
      <c r="I33"/>
      <c r="P33" s="5"/>
      <c r="Q33" s="1110" t="s">
        <v>977</v>
      </c>
      <c r="R33" s="1111"/>
      <c r="S33" s="1116" t="s">
        <v>951</v>
      </c>
      <c r="T33" s="1117"/>
      <c r="U33" s="1117"/>
      <c r="V33" s="1117"/>
      <c r="W33" s="1118"/>
      <c r="X33"/>
      <c r="Y33" s="5"/>
      <c r="Z33" s="5"/>
      <c r="AA33" s="5"/>
      <c r="AB33" s="5"/>
      <c r="AC33" s="5"/>
      <c r="AD33" s="5"/>
      <c r="AE33" s="5"/>
      <c r="AF33" s="1110" t="s">
        <v>977</v>
      </c>
      <c r="AG33" s="1111"/>
      <c r="AH33" s="1116" t="s">
        <v>951</v>
      </c>
      <c r="AI33" s="1117"/>
      <c r="AJ33" s="1117"/>
      <c r="AK33" s="1117"/>
      <c r="AL33" s="1118"/>
    </row>
    <row r="34" spans="1:38" ht="79.900000000000006" customHeight="1" x14ac:dyDescent="0.25">
      <c r="A34" s="60"/>
      <c r="B34" s="1112"/>
      <c r="C34" s="1113"/>
      <c r="D34" s="1121" t="s">
        <v>246</v>
      </c>
      <c r="E34" s="1121" t="s">
        <v>244</v>
      </c>
      <c r="F34" s="1121" t="s">
        <v>86</v>
      </c>
      <c r="G34" s="1121" t="s">
        <v>242</v>
      </c>
      <c r="H34" s="1123" t="s">
        <v>172</v>
      </c>
      <c r="I34"/>
      <c r="P34" s="5"/>
      <c r="Q34" s="1112"/>
      <c r="R34" s="1113"/>
      <c r="S34" s="1121" t="s">
        <v>246</v>
      </c>
      <c r="T34" s="1121" t="s">
        <v>244</v>
      </c>
      <c r="U34" s="1121" t="s">
        <v>86</v>
      </c>
      <c r="V34" s="1121" t="s">
        <v>242</v>
      </c>
      <c r="W34" s="1123" t="s">
        <v>172</v>
      </c>
      <c r="X34"/>
      <c r="Y34" s="5"/>
      <c r="Z34" s="5"/>
      <c r="AA34" s="5"/>
      <c r="AB34" s="5"/>
      <c r="AC34" s="5"/>
      <c r="AD34" s="5"/>
      <c r="AE34" s="5"/>
      <c r="AF34" s="1112"/>
      <c r="AG34" s="1113"/>
      <c r="AH34" s="668" t="s">
        <v>246</v>
      </c>
      <c r="AI34" s="668" t="s">
        <v>244</v>
      </c>
      <c r="AJ34" s="668" t="s">
        <v>86</v>
      </c>
      <c r="AK34" s="668" t="s">
        <v>242</v>
      </c>
      <c r="AL34" s="677" t="s">
        <v>172</v>
      </c>
    </row>
    <row r="35" spans="1:38" ht="79.900000000000006" customHeight="1" x14ac:dyDescent="0.25">
      <c r="A35" s="60"/>
      <c r="B35" s="1114"/>
      <c r="C35" s="1115"/>
      <c r="D35" s="1122"/>
      <c r="E35" s="1122"/>
      <c r="F35" s="1122"/>
      <c r="G35" s="1122"/>
      <c r="H35" s="1124"/>
      <c r="I35"/>
      <c r="P35" s="5"/>
      <c r="Q35" s="1114"/>
      <c r="R35" s="1115"/>
      <c r="S35" s="1122"/>
      <c r="T35" s="1122"/>
      <c r="U35" s="1122"/>
      <c r="V35" s="1122"/>
      <c r="W35" s="1124"/>
      <c r="X35"/>
      <c r="Y35" s="5"/>
      <c r="Z35" s="5"/>
      <c r="AA35" s="5"/>
      <c r="AB35" s="5"/>
      <c r="AC35" s="5"/>
      <c r="AD35" s="5"/>
      <c r="AE35" s="5"/>
      <c r="AF35" s="1114"/>
      <c r="AG35" s="1115"/>
      <c r="AH35" s="179"/>
      <c r="AI35" s="179"/>
      <c r="AJ35" s="179"/>
      <c r="AK35" s="179"/>
      <c r="AL35" s="180"/>
    </row>
    <row r="36" spans="1:38" ht="199.9" customHeight="1" x14ac:dyDescent="0.25">
      <c r="A36" s="60"/>
      <c r="B36" s="1104" t="s">
        <v>989</v>
      </c>
      <c r="C36" s="149" t="s">
        <v>246</v>
      </c>
      <c r="D36" s="142"/>
      <c r="E36" s="143" cm="1">
        <f t="array" ref="E36">SUMPRODUCT(ISNUMBER(SEARCH('16 Water Heating Costs'!$E$42:$AE$42,'16 Water Heating Costs'!G22)) *'16 Water Heating Costs'!$E$49:$AE$49)</f>
        <v>1145.556993320414</v>
      </c>
      <c r="F36" s="143" cm="1">
        <f t="array" ref="F36">SUMPRODUCT(ISNUMBER(SEARCH('16 Water Heating Costs'!$E$42:$AE$42,'16 Water Heating Costs'!H22)) *'16 Water Heating Costs'!$E$49:$AE$49)</f>
        <v>1145.556993320414</v>
      </c>
      <c r="G36" s="143" cm="1">
        <f t="array" ref="G36">SUMPRODUCT(ISNUMBER(SEARCH('16 Water Heating Costs'!$E$42:$AE$42,'16 Water Heating Costs'!I22)) *'16 Water Heating Costs'!$E$49:$AE$49)</f>
        <v>1145.556993320414</v>
      </c>
      <c r="H36" s="150" cm="1">
        <f t="array" ref="H36">SUMPRODUCT(ISNUMBER(SEARCH('16 Water Heating Costs'!$E$42:$AE$42,'16 Water Heating Costs'!J22)) *'16 Water Heating Costs'!$E$49:$AE$49)</f>
        <v>900.68358859944465</v>
      </c>
      <c r="I36"/>
      <c r="P36" s="5"/>
      <c r="Q36" s="1104" t="s">
        <v>989</v>
      </c>
      <c r="R36" s="149" t="s">
        <v>246</v>
      </c>
      <c r="S36" s="142"/>
      <c r="T36" s="143" cm="1">
        <f t="array" ref="T36">SUMPRODUCT(ISNUMBER(SEARCH('16 Water Heating Costs'!$E$42:$AE$42,'16 Water Heating Costs'!O22)) *'16 Water Heating Costs'!$E$49:$AE$49)</f>
        <v>1145.556993320414</v>
      </c>
      <c r="U36" s="143" cm="1">
        <f t="array" ref="U36">SUMPRODUCT(ISNUMBER(SEARCH('16 Water Heating Costs'!$E$42:$AE$42,'16 Water Heating Costs'!P22)) *'16 Water Heating Costs'!$E$49:$AE$49)</f>
        <v>1145.556993320414</v>
      </c>
      <c r="V36" s="143" cm="1">
        <f t="array" ref="V36">SUMPRODUCT(ISNUMBER(SEARCH('16 Water Heating Costs'!$E$42:$AE$42,'16 Water Heating Costs'!Q22)) *'16 Water Heating Costs'!$E$49:$AE$49)</f>
        <v>1145.556993320414</v>
      </c>
      <c r="W36" s="150" cm="1">
        <f t="array" ref="W36">SUMPRODUCT(ISNUMBER(SEARCH('16 Water Heating Costs'!$E$42:$AE$42,'16 Water Heating Costs'!R22)) *'16 Water Heating Costs'!$E$49:$AE$49)</f>
        <v>900.68358859944465</v>
      </c>
      <c r="X36"/>
      <c r="Y36" s="5"/>
      <c r="Z36" s="5"/>
      <c r="AA36" s="5"/>
      <c r="AB36" s="5"/>
      <c r="AC36" s="5"/>
      <c r="AD36" s="5"/>
      <c r="AE36" s="5"/>
      <c r="AF36" s="1104" t="s">
        <v>989</v>
      </c>
      <c r="AG36" s="149" t="s">
        <v>246</v>
      </c>
      <c r="AH36" s="142"/>
      <c r="AI36" s="143" cm="1">
        <f t="array" ref="AI36">SUMPRODUCT(ISNUMBER(SEARCH('16 Water Heating Costs'!$E$42:$AE$42,'16 Water Heating Costs'!W22)) *'16 Water Heating Costs'!$E$49:$AE$49)</f>
        <v>1145.556993320414</v>
      </c>
      <c r="AJ36" s="143" cm="1">
        <f t="array" ref="AJ36">SUMPRODUCT(ISNUMBER(SEARCH('16 Water Heating Costs'!$E$42:$AE$42,'16 Water Heating Costs'!X22)) *'16 Water Heating Costs'!$E$49:$AE$49)</f>
        <v>1145.556993320414</v>
      </c>
      <c r="AK36" s="143" cm="1">
        <f t="array" ref="AK36">SUMPRODUCT(ISNUMBER(SEARCH('16 Water Heating Costs'!$E$42:$AE$42,'16 Water Heating Costs'!Y22)) *'16 Water Heating Costs'!$E$49:$AE$49)</f>
        <v>1145.556993320414</v>
      </c>
      <c r="AL36" s="150" cm="1">
        <f t="array" ref="AL36">SUMPRODUCT(ISNUMBER(SEARCH('16 Water Heating Costs'!$E$42:$AE$42,'16 Water Heating Costs'!Z22)) *'16 Water Heating Costs'!$E$49:$AE$49)</f>
        <v>900.68358859944465</v>
      </c>
    </row>
    <row r="37" spans="1:38" ht="199.9" customHeight="1" x14ac:dyDescent="0.25">
      <c r="A37" s="60"/>
      <c r="B37" s="1105"/>
      <c r="C37" s="152" t="s">
        <v>244</v>
      </c>
      <c r="D37" s="143" cm="1">
        <f t="array" ref="D37">SUMPRODUCT(ISNUMBER(SEARCH('16 Water Heating Costs'!$E$42:$AE$42,'16 Water Heating Costs'!F23)) *'16 Water Heating Costs'!$E$49:$AE$49)</f>
        <v>1238.8333922170686</v>
      </c>
      <c r="E37" s="142"/>
      <c r="F37" s="143" cm="1">
        <f t="array" ref="F37">SUMPRODUCT(ISNUMBER(SEARCH('16 Water Heating Costs'!$E$42:$AE$42,'16 Water Heating Costs'!H23)) *'16 Water Heating Costs'!$E$49:$AE$49)</f>
        <v>728.03379394938179</v>
      </c>
      <c r="G37" s="143" cm="1">
        <f t="array" ref="G37">SUMPRODUCT(ISNUMBER(SEARCH('16 Water Heating Costs'!$E$42:$AE$42,'16 Water Heating Costs'!I23)) *'16 Water Heating Costs'!$E$49:$AE$49)</f>
        <v>728.03379394938179</v>
      </c>
      <c r="H37" s="150" cm="1">
        <f t="array" ref="H37">SUMPRODUCT(ISNUMBER(SEARCH('16 Water Heating Costs'!$E$42:$AE$42,'16 Water Heating Costs'!J23)) *'16 Water Heating Costs'!$E$49:$AE$49)</f>
        <v>1238.8333922170686</v>
      </c>
      <c r="I37"/>
      <c r="P37" s="5"/>
      <c r="Q37" s="1105"/>
      <c r="R37" s="152" t="s">
        <v>244</v>
      </c>
      <c r="S37" s="143" cm="1">
        <f t="array" ref="S37">SUMPRODUCT(ISNUMBER(SEARCH('16 Water Heating Costs'!$E$42:$AE$42,'16 Water Heating Costs'!N23)) *'16 Water Heating Costs'!$E$49:$AE$49)</f>
        <v>1238.8333922170686</v>
      </c>
      <c r="T37" s="142"/>
      <c r="U37" s="143" cm="1">
        <f t="array" ref="U37">SUMPRODUCT(ISNUMBER(SEARCH('16 Water Heating Costs'!$E$42:$AE$42,'16 Water Heating Costs'!P23)) *'16 Water Heating Costs'!$E$49:$AE$49)</f>
        <v>728.03379394938179</v>
      </c>
      <c r="V37" s="143" cm="1">
        <f t="array" ref="V37">SUMPRODUCT(ISNUMBER(SEARCH('16 Water Heating Costs'!$E$42:$AE$42,'16 Water Heating Costs'!Q23)) *'16 Water Heating Costs'!$E$49:$AE$49)</f>
        <v>728.03379394938179</v>
      </c>
      <c r="W37" s="150" cm="1">
        <f t="array" ref="W37">SUMPRODUCT(ISNUMBER(SEARCH('16 Water Heating Costs'!$E$42:$AE$42,'16 Water Heating Costs'!R23)) *'16 Water Heating Costs'!$E$49:$AE$49)</f>
        <v>1238.8333922170686</v>
      </c>
      <c r="X37"/>
      <c r="Y37" s="5"/>
      <c r="Z37" s="5"/>
      <c r="AA37" s="5"/>
      <c r="AB37" s="5"/>
      <c r="AC37" s="5"/>
      <c r="AD37" s="5"/>
      <c r="AE37" s="5"/>
      <c r="AF37" s="1119"/>
      <c r="AG37" s="152" t="s">
        <v>244</v>
      </c>
      <c r="AH37" s="143" cm="1">
        <f t="array" ref="AH37">SUMPRODUCT(ISNUMBER(SEARCH('16 Water Heating Costs'!$E$42:$AE$42,'16 Water Heating Costs'!V23)) *'16 Water Heating Costs'!$E$49:$AE$49)</f>
        <v>1238.8333922170686</v>
      </c>
      <c r="AI37" s="142"/>
      <c r="AJ37" s="143" cm="1">
        <f t="array" ref="AJ37">SUMPRODUCT(ISNUMBER(SEARCH('16 Water Heating Costs'!$E$42:$AE$42,'16 Water Heating Costs'!X23)) *'16 Water Heating Costs'!$E$49:$AE$49)</f>
        <v>728.03379394938179</v>
      </c>
      <c r="AK37" s="143" cm="1">
        <f t="array" ref="AK37">SUMPRODUCT(ISNUMBER(SEARCH('16 Water Heating Costs'!$E$42:$AE$42,'16 Water Heating Costs'!Y23)) *'16 Water Heating Costs'!$E$49:$AE$49)</f>
        <v>728.03379394938179</v>
      </c>
      <c r="AL37" s="150" cm="1">
        <f t="array" ref="AL37">SUMPRODUCT(ISNUMBER(SEARCH('16 Water Heating Costs'!$E$42:$AE$42,'16 Water Heating Costs'!Z23)) *'16 Water Heating Costs'!$E$49:$AE$49)</f>
        <v>1238.8333922170686</v>
      </c>
    </row>
    <row r="38" spans="1:38" s="61" customFormat="1" ht="199.9" customHeight="1" x14ac:dyDescent="0.25">
      <c r="A38" s="60"/>
      <c r="B38" s="1105"/>
      <c r="C38" s="152" t="s">
        <v>86</v>
      </c>
      <c r="D38" s="143" cm="1">
        <f t="array" ref="D38">SUMPRODUCT(ISNUMBER(SEARCH('16 Water Heating Costs'!$E$42:$AE$42,'16 Water Heating Costs'!F24)) *'16 Water Heating Costs'!$E$49:$AE$49)</f>
        <v>1902.7311206832617</v>
      </c>
      <c r="E38" s="143" cm="1">
        <f t="array" ref="E38">SUMPRODUCT(ISNUMBER(SEARCH('16 Water Heating Costs'!$E$42:$AE$42,'16 Water Heating Costs'!G24)) *'16 Water Heating Costs'!$E$49:$AE$49)</f>
        <v>1391.9315224155748</v>
      </c>
      <c r="F38" s="142"/>
      <c r="G38" s="143" cm="1">
        <f t="array" ref="G38">SUMPRODUCT(ISNUMBER(SEARCH('16 Water Heating Costs'!$E$42:$AE$42,'16 Water Heating Costs'!I24)) *'16 Water Heating Costs'!$E$49:$AE$49)</f>
        <v>1391.9315224155748</v>
      </c>
      <c r="H38" s="150" cm="1">
        <f t="array" ref="H38">SUMPRODUCT(ISNUMBER(SEARCH('16 Water Heating Costs'!$E$42:$AE$42,'16 Water Heating Costs'!J24)) *'16 Water Heating Costs'!$E$49:$AE$49)</f>
        <v>1902.7311206832617</v>
      </c>
      <c r="I38"/>
      <c r="J38" s="5"/>
      <c r="K38" s="5"/>
      <c r="L38" s="5"/>
      <c r="M38" s="5"/>
      <c r="N38" s="5"/>
      <c r="O38" s="5"/>
      <c r="P38" s="5"/>
      <c r="Q38" s="1105"/>
      <c r="R38" s="152" t="s">
        <v>86</v>
      </c>
      <c r="S38" s="143" cm="1">
        <f t="array" ref="S38">SUMPRODUCT(ISNUMBER(SEARCH('16 Water Heating Costs'!$E$42:$AE$42,'16 Water Heating Costs'!N24)) *'16 Water Heating Costs'!$E$49:$AE$49)</f>
        <v>2007.1858548806617</v>
      </c>
      <c r="T38" s="143" cm="1">
        <f t="array" ref="T38">SUMPRODUCT(ISNUMBER(SEARCH('16 Water Heating Costs'!$E$42:$AE$42,'16 Water Heating Costs'!O24)) *'16 Water Heating Costs'!$E$49:$AE$49)</f>
        <v>1496.3862566129751</v>
      </c>
      <c r="U38" s="142"/>
      <c r="V38" s="143" cm="1">
        <f t="array" ref="V38">SUMPRODUCT(ISNUMBER(SEARCH('16 Water Heating Costs'!$E$42:$AE$42,'16 Water Heating Costs'!Q24)) *'16 Water Heating Costs'!$E$49:$AE$49)</f>
        <v>1496.3862566129751</v>
      </c>
      <c r="W38" s="150" cm="1">
        <f t="array" ref="W38">SUMPRODUCT(ISNUMBER(SEARCH('16 Water Heating Costs'!$E$42:$AE$42,'16 Water Heating Costs'!R24)) *'16 Water Heating Costs'!$E$49:$AE$49)</f>
        <v>2007.1858548806617</v>
      </c>
      <c r="X38"/>
      <c r="Y38" s="5"/>
      <c r="Z38" s="5"/>
      <c r="AA38" s="5"/>
      <c r="AB38" s="5"/>
      <c r="AC38" s="5"/>
      <c r="AD38" s="5"/>
      <c r="AE38" s="5"/>
      <c r="AF38" s="1119"/>
      <c r="AG38" s="152" t="s">
        <v>86</v>
      </c>
      <c r="AH38" s="143" cm="1">
        <f t="array" ref="AH38">SUMPRODUCT(ISNUMBER(SEARCH('16 Water Heating Costs'!$E$42:$AE$42,'16 Water Heating Costs'!V24)) *'16 Water Heating Costs'!$E$49:$AE$49)</f>
        <v>1751.0683673261308</v>
      </c>
      <c r="AI38" s="143" cm="1">
        <f t="array" ref="AI38">SUMPRODUCT(ISNUMBER(SEARCH('16 Water Heating Costs'!$E$42:$AE$42,'16 Water Heating Costs'!W24)) *'16 Water Heating Costs'!$E$49:$AE$49)</f>
        <v>1240.2687690584439</v>
      </c>
      <c r="AJ38" s="142"/>
      <c r="AK38" s="143" cm="1">
        <f t="array" ref="AK38">SUMPRODUCT(ISNUMBER(SEARCH('16 Water Heating Costs'!$E$42:$AE$42,'16 Water Heating Costs'!Y24)) *'16 Water Heating Costs'!$E$49:$AE$49)</f>
        <v>1240.2687690584439</v>
      </c>
      <c r="AL38" s="150" cm="1">
        <f t="array" ref="AL38">SUMPRODUCT(ISNUMBER(SEARCH('16 Water Heating Costs'!$E$42:$AE$42,'16 Water Heating Costs'!Z24)) *'16 Water Heating Costs'!$E$49:$AE$49)</f>
        <v>1751.0683673261308</v>
      </c>
    </row>
    <row r="39" spans="1:38" ht="199.9" customHeight="1" x14ac:dyDescent="0.25">
      <c r="B39" s="1105"/>
      <c r="C39" s="152" t="s">
        <v>242</v>
      </c>
      <c r="D39" s="143" cm="1">
        <f t="array" ref="D39">SUMPRODUCT(ISNUMBER(SEARCH('16 Water Heating Costs'!$E$42:$AE$42,'16 Water Heating Costs'!F25)) *'16 Water Heating Costs'!$E$49:$AE$49)</f>
        <v>1902.7311206832617</v>
      </c>
      <c r="E39" s="143" cm="1">
        <f t="array" ref="E39">SUMPRODUCT(ISNUMBER(SEARCH('16 Water Heating Costs'!$E$42:$AE$42,'16 Water Heating Costs'!G25)) *'16 Water Heating Costs'!$E$49:$AE$49)</f>
        <v>1391.9315224155748</v>
      </c>
      <c r="F39" s="143" cm="1">
        <f t="array" ref="F39">SUMPRODUCT(ISNUMBER(SEARCH('16 Water Heating Costs'!$E$42:$AE$42,'16 Water Heating Costs'!H25)) *'16 Water Heating Costs'!$E$49:$AE$49)</f>
        <v>1391.9315224155748</v>
      </c>
      <c r="G39" s="142"/>
      <c r="H39" s="150" cm="1">
        <f t="array" ref="H39">SUMPRODUCT(ISNUMBER(SEARCH('16 Water Heating Costs'!$E$42:$AE$42,'16 Water Heating Costs'!J25)) *'16 Water Heating Costs'!$E$49:$AE$49)</f>
        <v>1902.7311206832617</v>
      </c>
      <c r="I39"/>
      <c r="P39" s="5"/>
      <c r="Q39" s="1105"/>
      <c r="R39" s="152" t="s">
        <v>242</v>
      </c>
      <c r="S39" s="143" cm="1">
        <f t="array" ref="S39">SUMPRODUCT(ISNUMBER(SEARCH('16 Water Heating Costs'!$E$42:$AE$42,'16 Water Heating Costs'!N25)) *'16 Water Heating Costs'!$E$49:$AE$49)</f>
        <v>2007.1858548806617</v>
      </c>
      <c r="T39" s="143" cm="1">
        <f t="array" ref="T39">SUMPRODUCT(ISNUMBER(SEARCH('16 Water Heating Costs'!$E$42:$AE$42,'16 Water Heating Costs'!O25)) *'16 Water Heating Costs'!$E$49:$AE$49)</f>
        <v>1496.3862566129751</v>
      </c>
      <c r="U39" s="143" cm="1">
        <f t="array" ref="U39">SUMPRODUCT(ISNUMBER(SEARCH('16 Water Heating Costs'!$E$42:$AE$42,'16 Water Heating Costs'!P25)) *'16 Water Heating Costs'!$E$49:$AE$49)</f>
        <v>1496.3862566129751</v>
      </c>
      <c r="V39" s="142"/>
      <c r="W39" s="150" cm="1">
        <f t="array" ref="W39">SUMPRODUCT(ISNUMBER(SEARCH('16 Water Heating Costs'!$E$42:$AE$42,'16 Water Heating Costs'!R25)) *'16 Water Heating Costs'!$E$49:$AE$49)</f>
        <v>2007.1858548806617</v>
      </c>
      <c r="X39"/>
      <c r="Y39" s="5"/>
      <c r="Z39" s="5"/>
      <c r="AA39" s="5"/>
      <c r="AB39" s="5"/>
      <c r="AC39" s="5"/>
      <c r="AD39" s="5"/>
      <c r="AE39" s="5"/>
      <c r="AF39" s="1119"/>
      <c r="AG39" s="152" t="s">
        <v>242</v>
      </c>
      <c r="AH39" s="143" cm="1">
        <f t="array" ref="AH39">SUMPRODUCT(ISNUMBER(SEARCH('16 Water Heating Costs'!$E$42:$AE$42,'16 Water Heating Costs'!V25)) *'16 Water Heating Costs'!$E$49:$AE$49)</f>
        <v>1751.0683673261308</v>
      </c>
      <c r="AI39" s="143" cm="1">
        <f t="array" ref="AI39">SUMPRODUCT(ISNUMBER(SEARCH('16 Water Heating Costs'!$E$42:$AE$42,'16 Water Heating Costs'!W25)) *'16 Water Heating Costs'!$E$49:$AE$49)</f>
        <v>1240.2687690584439</v>
      </c>
      <c r="AJ39" s="143" cm="1">
        <f t="array" ref="AJ39">SUMPRODUCT(ISNUMBER(SEARCH('16 Water Heating Costs'!$E$42:$AE$42,'16 Water Heating Costs'!X25)) *'16 Water Heating Costs'!$E$49:$AE$49)</f>
        <v>1240.2687690584439</v>
      </c>
      <c r="AK39" s="142"/>
      <c r="AL39" s="150" cm="1">
        <f t="array" ref="AL39">SUMPRODUCT(ISNUMBER(SEARCH('16 Water Heating Costs'!$E$42:$AE$42,'16 Water Heating Costs'!Z25)) *'16 Water Heating Costs'!$E$49:$AE$49)</f>
        <v>1751.0683673261308</v>
      </c>
    </row>
    <row r="40" spans="1:38" ht="199.9" customHeight="1" thickBot="1" x14ac:dyDescent="0.3">
      <c r="A40" s="60"/>
      <c r="B40" s="1106"/>
      <c r="C40" s="153" t="s">
        <v>172</v>
      </c>
      <c r="D40" s="354" cm="1">
        <f t="array" ref="D40">SUMPRODUCT(ISNUMBER(SEARCH('16 Water Heating Costs'!$E$42:$AE$42,'16 Water Heating Costs'!F26)) *'16 Water Heating Costs'!$E$49:$AE$49)</f>
        <v>80</v>
      </c>
      <c r="E40" s="354" cm="1">
        <f t="array" ref="E40">SUMPRODUCT(ISNUMBER(SEARCH('16 Water Heating Costs'!$E$42:$AE$42,'16 Water Heating Costs'!G26)) *'16 Water Heating Costs'!$E$49:$AE$49)</f>
        <v>1145.556993320414</v>
      </c>
      <c r="F40" s="354" cm="1">
        <f t="array" ref="F40">SUMPRODUCT(ISNUMBER(SEARCH('16 Water Heating Costs'!$E$42:$AE$42,'16 Water Heating Costs'!H26)) *'16 Water Heating Costs'!$E$49:$AE$49)</f>
        <v>1145.556993320414</v>
      </c>
      <c r="G40" s="354" cm="1">
        <f t="array" ref="G40">SUMPRODUCT(ISNUMBER(SEARCH('16 Water Heating Costs'!$E$42:$AE$42,'16 Water Heating Costs'!I26)) *'16 Water Heating Costs'!$E$49:$AE$49)</f>
        <v>1145.556993320414</v>
      </c>
      <c r="H40" s="426"/>
      <c r="I40"/>
      <c r="P40" s="5"/>
      <c r="Q40" s="1106"/>
      <c r="R40" s="153" t="s">
        <v>172</v>
      </c>
      <c r="S40" s="354" cm="1">
        <f t="array" ref="S40">SUMPRODUCT(ISNUMBER(SEARCH('16 Water Heating Costs'!$E$42:$AE$42,'16 Water Heating Costs'!N26)) *'16 Water Heating Costs'!$E$49:$AE$49)</f>
        <v>80</v>
      </c>
      <c r="T40" s="354" cm="1">
        <f t="array" ref="T40">SUMPRODUCT(ISNUMBER(SEARCH('16 Water Heating Costs'!$E$42:$AE$42,'16 Water Heating Costs'!O26)) *'16 Water Heating Costs'!$E$49:$AE$49)</f>
        <v>1145.556993320414</v>
      </c>
      <c r="U40" s="354" cm="1">
        <f t="array" ref="U40">SUMPRODUCT(ISNUMBER(SEARCH('16 Water Heating Costs'!$E$42:$AE$42,'16 Water Heating Costs'!P26)) *'16 Water Heating Costs'!$E$49:$AE$49)</f>
        <v>1145.556993320414</v>
      </c>
      <c r="V40" s="354" cm="1">
        <f t="array" ref="V40">SUMPRODUCT(ISNUMBER(SEARCH('16 Water Heating Costs'!$E$42:$AE$42,'16 Water Heating Costs'!Q26)) *'16 Water Heating Costs'!$E$49:$AE$49)</f>
        <v>1145.556993320414</v>
      </c>
      <c r="W40" s="426"/>
      <c r="X40"/>
      <c r="Y40" s="5"/>
      <c r="Z40" s="5"/>
      <c r="AA40" s="5"/>
      <c r="AB40" s="5"/>
      <c r="AC40" s="5"/>
      <c r="AD40" s="5"/>
      <c r="AE40" s="5"/>
      <c r="AF40" s="1120"/>
      <c r="AG40" s="153" t="s">
        <v>172</v>
      </c>
      <c r="AH40" s="354" cm="1">
        <f t="array" ref="AH40">SUMPRODUCT(ISNUMBER(SEARCH('16 Water Heating Costs'!$E$42:$AE$42,'16 Water Heating Costs'!V26)) *'16 Water Heating Costs'!$E$49:$AE$49)</f>
        <v>80</v>
      </c>
      <c r="AI40" s="354" cm="1">
        <f t="array" ref="AI40">SUMPRODUCT(ISNUMBER(SEARCH('16 Water Heating Costs'!$E$42:$AE$42,'16 Water Heating Costs'!W26)) *'16 Water Heating Costs'!$E$49:$AE$49)</f>
        <v>1145.556993320414</v>
      </c>
      <c r="AJ40" s="354" cm="1">
        <f t="array" ref="AJ40">SUMPRODUCT(ISNUMBER(SEARCH('16 Water Heating Costs'!$E$42:$AE$42,'16 Water Heating Costs'!X26)) *'16 Water Heating Costs'!$E$49:$AE$49)</f>
        <v>1145.556993320414</v>
      </c>
      <c r="AK40" s="354" cm="1">
        <f t="array" ref="AK40">SUMPRODUCT(ISNUMBER(SEARCH('16 Water Heating Costs'!$E$42:$AE$42,'16 Water Heating Costs'!Y26)) *'16 Water Heating Costs'!$E$49:$AE$49)</f>
        <v>1145.556993320414</v>
      </c>
      <c r="AL40" s="426"/>
    </row>
    <row r="41" spans="1:38" ht="79.900000000000006" customHeight="1" thickBot="1" x14ac:dyDescent="0.3">
      <c r="A41" s="60"/>
      <c r="B41"/>
      <c r="C41"/>
      <c r="D41"/>
      <c r="E41"/>
      <c r="F41"/>
      <c r="G41"/>
      <c r="H41"/>
      <c r="I41"/>
      <c r="P41" s="5"/>
      <c r="Q41"/>
      <c r="R41"/>
      <c r="S41"/>
      <c r="T41"/>
      <c r="U41"/>
      <c r="V41"/>
      <c r="W41"/>
      <c r="X41"/>
      <c r="Y41" s="5"/>
      <c r="Z41" s="5"/>
      <c r="AA41" s="5"/>
      <c r="AB41" s="5"/>
      <c r="AC41" s="5"/>
      <c r="AD41" s="5"/>
      <c r="AE41" s="5"/>
      <c r="AF41"/>
      <c r="AG41"/>
      <c r="AH41"/>
      <c r="AI41"/>
      <c r="AJ41"/>
      <c r="AK41"/>
      <c r="AL41"/>
    </row>
    <row r="42" spans="1:38" ht="204.75" customHeight="1" x14ac:dyDescent="0.25">
      <c r="A42" s="60"/>
      <c r="B42" s="1107" t="s">
        <v>1629</v>
      </c>
      <c r="C42" s="1108"/>
      <c r="D42" s="1108"/>
      <c r="E42" s="1108"/>
      <c r="F42" s="1108"/>
      <c r="G42" s="1108"/>
      <c r="H42" s="1109"/>
      <c r="I42"/>
      <c r="P42" s="5"/>
      <c r="Q42" s="1107" t="s">
        <v>1630</v>
      </c>
      <c r="R42" s="1108"/>
      <c r="S42" s="1108"/>
      <c r="T42" s="1108"/>
      <c r="U42" s="1108"/>
      <c r="V42" s="1108"/>
      <c r="W42" s="1109"/>
      <c r="X42"/>
      <c r="Y42" s="5"/>
      <c r="Z42" s="5"/>
      <c r="AA42" s="5"/>
      <c r="AB42" s="5"/>
      <c r="AC42" s="5"/>
      <c r="AD42" s="5"/>
      <c r="AE42" s="5"/>
      <c r="AF42" s="1107" t="s">
        <v>1631</v>
      </c>
      <c r="AG42" s="1108"/>
      <c r="AH42" s="1108"/>
      <c r="AI42" s="1108"/>
      <c r="AJ42" s="1108"/>
      <c r="AK42" s="1108"/>
      <c r="AL42" s="1109"/>
    </row>
    <row r="43" spans="1:38" ht="79.900000000000006" customHeight="1" x14ac:dyDescent="0.25">
      <c r="A43" s="60"/>
      <c r="B43" s="1110" t="s">
        <v>977</v>
      </c>
      <c r="C43" s="1111"/>
      <c r="D43" s="1116" t="s">
        <v>990</v>
      </c>
      <c r="E43" s="1117"/>
      <c r="F43" s="1117"/>
      <c r="G43" s="1117"/>
      <c r="H43" s="1118"/>
      <c r="I43"/>
      <c r="P43" s="5"/>
      <c r="Q43" s="1110" t="s">
        <v>977</v>
      </c>
      <c r="R43" s="1111"/>
      <c r="S43" s="1116" t="s">
        <v>990</v>
      </c>
      <c r="T43" s="1117"/>
      <c r="U43" s="1117"/>
      <c r="V43" s="1117"/>
      <c r="W43" s="1118"/>
      <c r="X43"/>
      <c r="Y43" s="5"/>
      <c r="Z43" s="5"/>
      <c r="AA43" s="5"/>
      <c r="AB43" s="5"/>
      <c r="AC43" s="5"/>
      <c r="AD43" s="5"/>
      <c r="AE43" s="5"/>
      <c r="AF43" s="1110" t="s">
        <v>977</v>
      </c>
      <c r="AG43" s="1111"/>
      <c r="AH43" s="1116" t="s">
        <v>990</v>
      </c>
      <c r="AI43" s="1117"/>
      <c r="AJ43" s="1117"/>
      <c r="AK43" s="1117"/>
      <c r="AL43" s="1118"/>
    </row>
    <row r="44" spans="1:38" ht="79.900000000000006" customHeight="1" x14ac:dyDescent="0.25">
      <c r="A44" s="60"/>
      <c r="B44" s="1112"/>
      <c r="C44" s="1113"/>
      <c r="D44" s="1121" t="s">
        <v>246</v>
      </c>
      <c r="E44" s="1121" t="s">
        <v>244</v>
      </c>
      <c r="F44" s="1121" t="s">
        <v>86</v>
      </c>
      <c r="G44" s="1121" t="s">
        <v>242</v>
      </c>
      <c r="H44" s="1123" t="s">
        <v>172</v>
      </c>
      <c r="I44"/>
      <c r="P44" s="5"/>
      <c r="Q44" s="1112"/>
      <c r="R44" s="1113"/>
      <c r="S44" s="1121" t="s">
        <v>246</v>
      </c>
      <c r="T44" s="1121" t="s">
        <v>244</v>
      </c>
      <c r="U44" s="1121" t="s">
        <v>86</v>
      </c>
      <c r="V44" s="1121" t="s">
        <v>242</v>
      </c>
      <c r="W44" s="1123" t="s">
        <v>172</v>
      </c>
      <c r="X44"/>
      <c r="Y44" s="5"/>
      <c r="Z44" s="5"/>
      <c r="AA44" s="5"/>
      <c r="AB44" s="5"/>
      <c r="AC44" s="5"/>
      <c r="AD44" s="5"/>
      <c r="AE44" s="5"/>
      <c r="AF44" s="1112"/>
      <c r="AG44" s="1113"/>
      <c r="AH44" s="668" t="s">
        <v>246</v>
      </c>
      <c r="AI44" s="668" t="s">
        <v>244</v>
      </c>
      <c r="AJ44" s="668" t="s">
        <v>86</v>
      </c>
      <c r="AK44" s="668" t="s">
        <v>242</v>
      </c>
      <c r="AL44" s="677" t="s">
        <v>172</v>
      </c>
    </row>
    <row r="45" spans="1:38" ht="79.900000000000006" customHeight="1" x14ac:dyDescent="0.25">
      <c r="A45" s="60"/>
      <c r="B45" s="1114"/>
      <c r="C45" s="1115"/>
      <c r="D45" s="1122"/>
      <c r="E45" s="1122"/>
      <c r="F45" s="1122"/>
      <c r="G45" s="1122"/>
      <c r="H45" s="1124"/>
      <c r="I45"/>
      <c r="P45" s="5"/>
      <c r="Q45" s="1114"/>
      <c r="R45" s="1115"/>
      <c r="S45" s="1122"/>
      <c r="T45" s="1122"/>
      <c r="U45" s="1122"/>
      <c r="V45" s="1122"/>
      <c r="W45" s="1124"/>
      <c r="X45"/>
      <c r="Y45" s="5"/>
      <c r="Z45" s="5"/>
      <c r="AA45" s="5"/>
      <c r="AB45" s="5"/>
      <c r="AC45" s="5"/>
      <c r="AD45" s="5"/>
      <c r="AE45" s="5"/>
      <c r="AF45" s="1114"/>
      <c r="AG45" s="1115"/>
      <c r="AH45" s="179"/>
      <c r="AI45" s="179"/>
      <c r="AJ45" s="179"/>
      <c r="AK45" s="179"/>
      <c r="AL45" s="180"/>
    </row>
    <row r="46" spans="1:38" ht="199.9" customHeight="1" x14ac:dyDescent="0.25">
      <c r="B46" s="1104" t="s">
        <v>952</v>
      </c>
      <c r="C46" s="149" t="s">
        <v>246</v>
      </c>
      <c r="D46" s="142"/>
      <c r="E46" s="143" cm="1">
        <f t="array" ref="E46">SUMPRODUCT(ISNUMBER(SEARCH('16 Water Heating Costs'!$E$42:$AE$42,'16 Water Heating Costs'!G33)) *'16 Water Heating Costs'!$E$49:$AE$49)</f>
        <v>1145.556993320414</v>
      </c>
      <c r="F46" s="143" cm="1">
        <f t="array" ref="F46">SUMPRODUCT(ISNUMBER(SEARCH('16 Water Heating Costs'!$E$42:$AE$42,'16 Water Heating Costs'!H33)) *'16 Water Heating Costs'!$E$49:$AE$49)</f>
        <v>1145.556993320414</v>
      </c>
      <c r="G46" s="143" cm="1">
        <f t="array" ref="G46">SUMPRODUCT(ISNUMBER(SEARCH('16 Water Heating Costs'!$E$42:$AE$42,'16 Water Heating Costs'!I33)) *'16 Water Heating Costs'!$E$49:$AE$49)</f>
        <v>1145.556993320414</v>
      </c>
      <c r="H46" s="150" cm="1">
        <f t="array" ref="H46">SUMPRODUCT(ISNUMBER(SEARCH('16 Water Heating Costs'!$E$42:$AE$42,'16 Water Heating Costs'!J33)) *'16 Water Heating Costs'!$E$49:$AE$49)</f>
        <v>900.68358859944465</v>
      </c>
      <c r="I46"/>
      <c r="P46" s="5"/>
      <c r="Q46" s="1104" t="s">
        <v>952</v>
      </c>
      <c r="R46" s="149" t="s">
        <v>246</v>
      </c>
      <c r="S46" s="142"/>
      <c r="T46" s="143" cm="1">
        <f t="array" ref="T46">SUMPRODUCT(ISNUMBER(SEARCH('16 Water Heating Costs'!$E$42:$AE$42,'16 Water Heating Costs'!O33)) *'16 Water Heating Costs'!$E$49:$AE$49)</f>
        <v>1145.556993320414</v>
      </c>
      <c r="U46" s="143" cm="1">
        <f t="array" ref="U46">SUMPRODUCT(ISNUMBER(SEARCH('16 Water Heating Costs'!$E$42:$AE$42,'16 Water Heating Costs'!P33)) *'16 Water Heating Costs'!$E$49:$AE$49)</f>
        <v>1145.556993320414</v>
      </c>
      <c r="V46" s="143" cm="1">
        <f t="array" ref="V46">SUMPRODUCT(ISNUMBER(SEARCH('16 Water Heating Costs'!$E$42:$AE$42,'16 Water Heating Costs'!Q33)) *'16 Water Heating Costs'!$E$49:$AE$49)</f>
        <v>1145.556993320414</v>
      </c>
      <c r="W46" s="150" cm="1">
        <f t="array" ref="W46">SUMPRODUCT(ISNUMBER(SEARCH('16 Water Heating Costs'!$E$42:$AE$42,'16 Water Heating Costs'!R33)) *'16 Water Heating Costs'!$E$49:$AE$49)</f>
        <v>900.68358859944465</v>
      </c>
      <c r="X46"/>
      <c r="Y46" s="5"/>
      <c r="Z46" s="5"/>
      <c r="AA46" s="5"/>
      <c r="AB46" s="5"/>
      <c r="AC46" s="5"/>
      <c r="AD46" s="5"/>
      <c r="AE46" s="5"/>
      <c r="AF46" s="1104" t="s">
        <v>952</v>
      </c>
      <c r="AG46" s="149" t="s">
        <v>246</v>
      </c>
      <c r="AH46" s="142"/>
      <c r="AI46" s="143" cm="1">
        <f t="array" ref="AI46">SUMPRODUCT(ISNUMBER(SEARCH('16 Water Heating Costs'!$E$42:$AE$42,'16 Water Heating Costs'!W33)) *'16 Water Heating Costs'!$E$49:$AE$49)</f>
        <v>1145.556993320414</v>
      </c>
      <c r="AJ46" s="143" cm="1">
        <f t="array" ref="AJ46">SUMPRODUCT(ISNUMBER(SEARCH('16 Water Heating Costs'!$E$42:$AE$42,'16 Water Heating Costs'!X33)) *'16 Water Heating Costs'!$E$49:$AE$49)</f>
        <v>1145.556993320414</v>
      </c>
      <c r="AK46" s="143" cm="1">
        <f t="array" ref="AK46">SUMPRODUCT(ISNUMBER(SEARCH('16 Water Heating Costs'!$E$42:$AE$42,'16 Water Heating Costs'!Y33)) *'16 Water Heating Costs'!$E$49:$AE$49)</f>
        <v>1145.556993320414</v>
      </c>
      <c r="AL46" s="150" cm="1">
        <f t="array" ref="AL46">SUMPRODUCT(ISNUMBER(SEARCH('16 Water Heating Costs'!$E$42:$AE$42,'16 Water Heating Costs'!Z33)) *'16 Water Heating Costs'!$E$49:$AE$49)</f>
        <v>900.68358859944465</v>
      </c>
    </row>
    <row r="47" spans="1:38" ht="199.9" customHeight="1" x14ac:dyDescent="0.25">
      <c r="B47" s="1105"/>
      <c r="C47" s="152" t="s">
        <v>244</v>
      </c>
      <c r="D47" s="142"/>
      <c r="E47" s="142"/>
      <c r="F47" s="142"/>
      <c r="G47" s="142"/>
      <c r="H47" s="144"/>
      <c r="I47"/>
      <c r="P47" s="5"/>
      <c r="Q47" s="1105"/>
      <c r="R47" s="152" t="s">
        <v>244</v>
      </c>
      <c r="S47" s="142"/>
      <c r="T47" s="142"/>
      <c r="U47" s="142"/>
      <c r="V47" s="142"/>
      <c r="W47" s="144"/>
      <c r="X47"/>
      <c r="Y47" s="5"/>
      <c r="Z47" s="5"/>
      <c r="AA47" s="5"/>
      <c r="AB47" s="5"/>
      <c r="AC47" s="5"/>
      <c r="AD47" s="5"/>
      <c r="AE47" s="5"/>
      <c r="AF47" s="1119"/>
      <c r="AG47" s="152" t="s">
        <v>244</v>
      </c>
      <c r="AH47" s="142"/>
      <c r="AI47" s="142"/>
      <c r="AJ47" s="142"/>
      <c r="AK47" s="142"/>
      <c r="AL47" s="144"/>
    </row>
    <row r="48" spans="1:38" ht="199.9" customHeight="1" x14ac:dyDescent="0.25">
      <c r="B48" s="1105"/>
      <c r="C48" s="152" t="s">
        <v>86</v>
      </c>
      <c r="D48" s="143" cm="1">
        <f t="array" ref="D48">SUMPRODUCT(ISNUMBER(SEARCH('16 Water Heating Costs'!$E$42:$AE$42,'16 Water Heating Costs'!F35)) *'16 Water Heating Costs'!$E$49:$AE$49)</f>
        <v>3919.5295666295765</v>
      </c>
      <c r="E48" s="143" cm="1">
        <f t="array" ref="E48">SUMPRODUCT(ISNUMBER(SEARCH('16 Water Heating Costs'!$E$42:$AE$42,'16 Water Heating Costs'!G35)) *'16 Water Heating Costs'!$E$49:$AE$49)</f>
        <v>2388.9566682349691</v>
      </c>
      <c r="F48" s="142"/>
      <c r="G48" s="143" cm="1">
        <f t="array" ref="G48">SUMPRODUCT(ISNUMBER(SEARCH('16 Water Heating Costs'!$E$42:$AE$42,'16 Water Heating Costs'!I35)) *'16 Water Heating Costs'!$E$49:$AE$49)</f>
        <v>3408.7299683618894</v>
      </c>
      <c r="H48" s="150" cm="1">
        <f t="array" ref="H48">SUMPRODUCT(ISNUMBER(SEARCH('16 Water Heating Costs'!$E$42:$AE$42,'16 Water Heating Costs'!J35)) *'16 Water Heating Costs'!$E$49:$AE$49)</f>
        <v>3919.5295666295765</v>
      </c>
      <c r="I48"/>
      <c r="P48" s="5"/>
      <c r="Q48" s="1105"/>
      <c r="R48" s="152" t="s">
        <v>86</v>
      </c>
      <c r="S48" s="143" cm="1">
        <f t="array" ref="S48">SUMPRODUCT(ISNUMBER(SEARCH('16 Water Heating Costs'!$E$42:$AE$42,'16 Water Heating Costs'!N35)) *'16 Water Heating Costs'!$E$49:$AE$49)</f>
        <v>4385.3976811499815</v>
      </c>
      <c r="T48" s="143" cm="1">
        <f t="array" ref="T48">SUMPRODUCT(ISNUMBER(SEARCH('16 Water Heating Costs'!$E$42:$AE$42,'16 Water Heating Costs'!O35)) *'16 Water Heating Costs'!$E$49:$AE$49)</f>
        <v>2854.8247827553741</v>
      </c>
      <c r="U48" s="142"/>
      <c r="V48" s="143" cm="1">
        <f t="array" ref="V48">SUMPRODUCT(ISNUMBER(SEARCH('16 Water Heating Costs'!$E$42:$AE$42,'16 Water Heating Costs'!Q35)) *'16 Water Heating Costs'!$E$49:$AE$49)</f>
        <v>3874.5980828822949</v>
      </c>
      <c r="W48" s="150" cm="1">
        <f t="array" ref="W48">SUMPRODUCT(ISNUMBER(SEARCH('16 Water Heating Costs'!$E$42:$AE$42,'16 Water Heating Costs'!R35)) *'16 Water Heating Costs'!$E$49:$AE$49)</f>
        <v>4385.3976811499815</v>
      </c>
      <c r="X48"/>
      <c r="Y48" s="5"/>
      <c r="Z48" s="5"/>
      <c r="AA48" s="5"/>
      <c r="AB48" s="5"/>
      <c r="AC48" s="5"/>
      <c r="AD48" s="5"/>
      <c r="AE48" s="5"/>
      <c r="AF48" s="1119"/>
      <c r="AG48" s="152" t="s">
        <v>86</v>
      </c>
      <c r="AH48" s="143" cm="1">
        <f t="array" ref="AH48">SUMPRODUCT(ISNUMBER(SEARCH('16 Water Heating Costs'!$E$42:$AE$42,'16 Water Heating Costs'!V35)) *'16 Water Heating Costs'!$E$49:$AE$49)</f>
        <v>3243.1136866567731</v>
      </c>
      <c r="AI48" s="143" cm="1">
        <f t="array" ref="AI48">SUMPRODUCT(ISNUMBER(SEARCH('16 Water Heating Costs'!$E$42:$AE$42,'16 Water Heating Costs'!W35)) *'16 Water Heating Costs'!$E$49:$AE$49)</f>
        <v>2854.8247827553741</v>
      </c>
      <c r="AJ48" s="142"/>
      <c r="AK48" s="143" cm="1">
        <f t="array" ref="AK48">SUMPRODUCT(ISNUMBER(SEARCH('16 Water Heating Costs'!$E$42:$AE$42,'16 Water Heating Costs'!Y35)) *'16 Water Heating Costs'!$E$49:$AE$49)</f>
        <v>2732.314088389086</v>
      </c>
      <c r="AL48" s="150" cm="1">
        <f t="array" ref="AL48">SUMPRODUCT(ISNUMBER(SEARCH('16 Water Heating Costs'!$E$42:$AE$42,'16 Water Heating Costs'!Z35)) *'16 Water Heating Costs'!$E$49:$AE$49)</f>
        <v>3243.1136866567731</v>
      </c>
    </row>
    <row r="49" spans="2:38" ht="199.9" customHeight="1" x14ac:dyDescent="0.25">
      <c r="B49" s="1105"/>
      <c r="C49" s="152" t="s">
        <v>242</v>
      </c>
      <c r="D49" s="143" cm="1">
        <f t="array" ref="D49">SUMPRODUCT(ISNUMBER(SEARCH('16 Water Heating Costs'!$E$42:$AE$42,'16 Water Heating Costs'!F36)) *'16 Water Heating Costs'!$E$49:$AE$49)</f>
        <v>3919.5295666295765</v>
      </c>
      <c r="E49" s="143" cm="1">
        <f t="array" ref="E49">SUMPRODUCT(ISNUMBER(SEARCH('16 Water Heating Costs'!$E$42:$AE$42,'16 Water Heating Costs'!G36)) *'16 Water Heating Costs'!$E$49:$AE$49)</f>
        <v>3408.7299683618894</v>
      </c>
      <c r="F49" s="143" cm="1">
        <f t="array" ref="F49">SUMPRODUCT(ISNUMBER(SEARCH('16 Water Heating Costs'!$E$42:$AE$42,'16 Water Heating Costs'!H36)) *'16 Water Heating Costs'!$E$49:$AE$49)</f>
        <v>3408.7299683618894</v>
      </c>
      <c r="G49" s="142"/>
      <c r="H49" s="150" cm="1">
        <f t="array" ref="H49">SUMPRODUCT(ISNUMBER(SEARCH('16 Water Heating Costs'!$E$42:$AE$42,'16 Water Heating Costs'!J36)) *'16 Water Heating Costs'!$E$49:$AE$49)</f>
        <v>3919.5295666295765</v>
      </c>
      <c r="I49"/>
      <c r="P49" s="5"/>
      <c r="Q49" s="1105"/>
      <c r="R49" s="152" t="s">
        <v>242</v>
      </c>
      <c r="S49" s="143" cm="1">
        <f t="array" ref="S49">SUMPRODUCT(ISNUMBER(SEARCH('16 Water Heating Costs'!$E$42:$AE$42,'16 Water Heating Costs'!N36)) *'16 Water Heating Costs'!$E$49:$AE$49)</f>
        <v>4385.3976811499815</v>
      </c>
      <c r="T49" s="143" cm="1">
        <f t="array" ref="T49">SUMPRODUCT(ISNUMBER(SEARCH('16 Water Heating Costs'!$E$42:$AE$42,'16 Water Heating Costs'!O36)) *'16 Water Heating Costs'!$E$49:$AE$49)</f>
        <v>3874.5980828822949</v>
      </c>
      <c r="U49" s="143" cm="1">
        <f t="array" ref="U49">SUMPRODUCT(ISNUMBER(SEARCH('16 Water Heating Costs'!$E$42:$AE$42,'16 Water Heating Costs'!P36)) *'16 Water Heating Costs'!$E$49:$AE$49)</f>
        <v>3874.5980828822949</v>
      </c>
      <c r="V49" s="142"/>
      <c r="W49" s="150" cm="1">
        <f t="array" ref="W49">SUMPRODUCT(ISNUMBER(SEARCH('16 Water Heating Costs'!$E$42:$AE$42,'16 Water Heating Costs'!R36)) *'16 Water Heating Costs'!$E$49:$AE$49)</f>
        <v>4385.3976811499815</v>
      </c>
      <c r="X49"/>
      <c r="Y49" s="5"/>
      <c r="Z49" s="5"/>
      <c r="AA49" s="5"/>
      <c r="AB49" s="5"/>
      <c r="AC49" s="5"/>
      <c r="AD49" s="5"/>
      <c r="AE49" s="5"/>
      <c r="AF49" s="1119"/>
      <c r="AG49" s="152" t="s">
        <v>242</v>
      </c>
      <c r="AH49" s="143" cm="1">
        <f t="array" ref="AH49">SUMPRODUCT(ISNUMBER(SEARCH('16 Water Heating Costs'!$E$42:$AE$42,'16 Water Heating Costs'!V36)) *'16 Water Heating Costs'!$E$49:$AE$49)</f>
        <v>3243.1136866567731</v>
      </c>
      <c r="AI49" s="143" cm="1">
        <f t="array" ref="AI49">SUMPRODUCT(ISNUMBER(SEARCH('16 Water Heating Costs'!$E$42:$AE$42,'16 Water Heating Costs'!W36)) *'16 Water Heating Costs'!$E$49:$AE$49)</f>
        <v>2732.314088389086</v>
      </c>
      <c r="AJ49" s="143" cm="1">
        <f t="array" ref="AJ49">SUMPRODUCT(ISNUMBER(SEARCH('16 Water Heating Costs'!$E$42:$AE$42,'16 Water Heating Costs'!X36)) *'16 Water Heating Costs'!$E$49:$AE$49)</f>
        <v>2732.314088389086</v>
      </c>
      <c r="AK49" s="142"/>
      <c r="AL49" s="150" cm="1">
        <f t="array" ref="AL49">SUMPRODUCT(ISNUMBER(SEARCH('16 Water Heating Costs'!$E$42:$AE$42,'16 Water Heating Costs'!Z36)) *'16 Water Heating Costs'!$E$49:$AE$49)</f>
        <v>3243.1136866567731</v>
      </c>
    </row>
    <row r="50" spans="2:38" ht="199.9" customHeight="1" thickBot="1" x14ac:dyDescent="0.3">
      <c r="B50" s="1106"/>
      <c r="C50" s="153" t="s">
        <v>172</v>
      </c>
      <c r="D50" s="145"/>
      <c r="E50" s="145"/>
      <c r="F50" s="145"/>
      <c r="G50" s="145"/>
      <c r="H50" s="426"/>
      <c r="I50"/>
      <c r="P50" s="5"/>
      <c r="Q50" s="1106"/>
      <c r="R50" s="153" t="s">
        <v>172</v>
      </c>
      <c r="S50" s="145"/>
      <c r="T50" s="145"/>
      <c r="U50" s="145"/>
      <c r="V50" s="145"/>
      <c r="W50" s="426"/>
      <c r="X50"/>
      <c r="Y50" s="5"/>
      <c r="Z50" s="5"/>
      <c r="AA50" s="5"/>
      <c r="AB50" s="5"/>
      <c r="AC50" s="5"/>
      <c r="AD50" s="5"/>
      <c r="AE50" s="5"/>
      <c r="AF50" s="1120"/>
      <c r="AG50" s="153" t="s">
        <v>172</v>
      </c>
      <c r="AH50" s="145"/>
      <c r="AI50" s="145"/>
      <c r="AJ50" s="145"/>
      <c r="AK50" s="145"/>
      <c r="AL50" s="426"/>
    </row>
    <row r="51" spans="2:38" ht="79.900000000000006" customHeight="1" thickBot="1" x14ac:dyDescent="0.3">
      <c r="B51" s="673"/>
      <c r="C51" s="673"/>
      <c r="D51" s="673"/>
      <c r="E51" s="673"/>
      <c r="F51" s="673"/>
      <c r="G51" s="673"/>
      <c r="H51" s="673"/>
      <c r="I51" s="673"/>
      <c r="J51" s="673"/>
      <c r="K51" s="673"/>
      <c r="L51" s="673"/>
      <c r="M51" s="673"/>
      <c r="N51" s="679"/>
      <c r="P51" s="5"/>
      <c r="Q51" s="673"/>
      <c r="R51" s="673"/>
      <c r="S51" s="673"/>
      <c r="T51" s="673"/>
      <c r="U51" s="673"/>
      <c r="V51" s="673"/>
      <c r="W51" s="673"/>
      <c r="X51" s="673"/>
      <c r="Y51" s="673"/>
      <c r="Z51" s="673"/>
      <c r="AA51" s="673"/>
      <c r="AB51" s="673"/>
      <c r="AC51" s="5"/>
      <c r="AD51" s="5"/>
      <c r="AE51" s="5"/>
      <c r="AF51" s="673"/>
      <c r="AG51" s="673"/>
      <c r="AH51" s="673"/>
      <c r="AI51" s="673"/>
      <c r="AJ51" s="673"/>
      <c r="AK51" s="673"/>
      <c r="AL51" s="673"/>
    </row>
    <row r="52" spans="2:38" ht="175.15" customHeight="1" thickBot="1" x14ac:dyDescent="0.3">
      <c r="B52" s="1135" t="s">
        <v>1074</v>
      </c>
      <c r="C52" s="1136"/>
      <c r="D52" s="1136"/>
      <c r="E52" s="1136"/>
      <c r="F52" s="1136"/>
      <c r="G52" s="1137"/>
      <c r="H52" s="364"/>
      <c r="I52" s="131"/>
      <c r="J52" s="146"/>
      <c r="K52" s="146"/>
      <c r="L52" s="146"/>
      <c r="M52" s="146"/>
      <c r="N52" s="156"/>
      <c r="O52" s="72"/>
    </row>
    <row r="53" spans="2:38" ht="79.900000000000006" customHeight="1" thickBot="1" x14ac:dyDescent="0.3">
      <c r="B53" s="1110" t="s">
        <v>226</v>
      </c>
      <c r="C53" s="1111"/>
      <c r="D53" s="1143" t="s">
        <v>282</v>
      </c>
      <c r="E53" s="1144"/>
      <c r="F53" s="1144"/>
      <c r="G53" s="1145"/>
      <c r="H53" s="183"/>
      <c r="I53" s="146"/>
      <c r="J53" s="146"/>
      <c r="K53" s="146"/>
      <c r="L53" s="146"/>
      <c r="M53" s="156"/>
      <c r="N53" s="72"/>
      <c r="O53" s="57"/>
    </row>
    <row r="54" spans="2:38" ht="199.9" customHeight="1" thickBot="1" x14ac:dyDescent="0.3">
      <c r="B54" s="1114"/>
      <c r="C54" s="1115"/>
      <c r="D54" s="147" t="s">
        <v>246</v>
      </c>
      <c r="E54" s="147" t="s">
        <v>594</v>
      </c>
      <c r="F54" s="147" t="s">
        <v>86</v>
      </c>
      <c r="G54" s="148" t="s">
        <v>242</v>
      </c>
      <c r="H54" s="131"/>
      <c r="I54" s="146"/>
      <c r="J54" s="146"/>
      <c r="K54" s="146"/>
      <c r="L54" s="146"/>
      <c r="M54" s="146"/>
      <c r="N54" s="72"/>
      <c r="O54" s="57"/>
    </row>
    <row r="55" spans="2:38" ht="199.9" customHeight="1" thickBot="1" x14ac:dyDescent="0.3">
      <c r="B55" s="1134" t="s">
        <v>227</v>
      </c>
      <c r="C55" s="147" t="s">
        <v>246</v>
      </c>
      <c r="D55" s="142"/>
      <c r="E55" s="143" cm="1">
        <f t="array" ref="E55">SUMPRODUCT(ISNUMBER(SEARCH('18 Clothes Drying Costs'!$D$16:$N$16,'18 Clothes Drying Costs'!G10)) *'18 Clothes Drying Costs'!$D$23:$N$23)</f>
        <v>731.55973605080044</v>
      </c>
      <c r="F55" s="143" cm="1">
        <f t="array" ref="F55">SUMPRODUCT(ISNUMBER(SEARCH('18 Clothes Drying Costs'!$D$16:$M$16,'18 Clothes Drying Costs'!H10)) *'18 Clothes Drying Costs'!$D$23:$M$23)</f>
        <v>1051.1456665237804</v>
      </c>
      <c r="G55" s="150" cm="1">
        <f t="array" ref="G55">SUMPRODUCT(ISNUMBER(SEARCH('18 Clothes Drying Costs'!$D$16:$M$16,'18 Clothes Drying Costs'!I10)) *'18 Clothes Drying Costs'!$D$23:$M$23)</f>
        <v>1051.1456665237804</v>
      </c>
      <c r="H55" s="131"/>
      <c r="I55" s="146"/>
      <c r="J55" s="146"/>
      <c r="K55" s="146"/>
      <c r="L55" s="146"/>
      <c r="M55" s="146"/>
      <c r="N55" s="72"/>
      <c r="O55" s="57"/>
    </row>
    <row r="56" spans="2:38" ht="199.9" customHeight="1" thickBot="1" x14ac:dyDescent="0.3">
      <c r="B56" s="1105"/>
      <c r="C56" s="147" t="s">
        <v>594</v>
      </c>
      <c r="D56" s="143" cm="1">
        <f t="array" ref="D56">SUMPRODUCT(ISNUMBER(SEARCH('18 Clothes Drying Costs'!$D$16:$M$16,'18 Clothes Drying Costs'!F11)) *'18 Clothes Drying Costs'!$D$23:$M$23)</f>
        <v>100</v>
      </c>
      <c r="E56" s="142"/>
      <c r="F56" s="143" cm="1">
        <f t="array" ref="F56">SUMPRODUCT(ISNUMBER(SEARCH('18 Clothes Drying Costs'!$D$16:$M$16,'18 Clothes Drying Costs'!H11)) *'18 Clothes Drying Costs'!$D$23:$M$23)</f>
        <v>1151.1456665237804</v>
      </c>
      <c r="G56" s="150" cm="1">
        <f t="array" ref="G56">SUMPRODUCT(ISNUMBER(SEARCH('18 Clothes Drying Costs'!$D$16:$M$16,'18 Clothes Drying Costs'!I11)) *'18 Clothes Drying Costs'!$D$23:$M$23)</f>
        <v>1201.1456665237804</v>
      </c>
      <c r="H56" s="131"/>
      <c r="I56" s="146"/>
      <c r="J56" s="146"/>
      <c r="K56" s="146"/>
      <c r="L56" s="146"/>
      <c r="M56" s="146"/>
      <c r="N56" s="72"/>
      <c r="O56" s="57"/>
    </row>
    <row r="57" spans="2:38" ht="199.9" customHeight="1" thickBot="1" x14ac:dyDescent="0.3">
      <c r="B57" s="1105"/>
      <c r="C57" s="147" t="s">
        <v>86</v>
      </c>
      <c r="D57" s="143" cm="1">
        <f t="array" ref="D57">SUMPRODUCT(ISNUMBER(SEARCH('18 Clothes Drying Costs'!$D$16:$M$16,'18 Clothes Drying Costs'!F12)) *'18 Clothes Drying Costs'!$D$23:$M$23)</f>
        <v>1040.8724104053906</v>
      </c>
      <c r="E57" s="143" cm="1">
        <f t="array" ref="E57">SUMPRODUCT(ISNUMBER(SEARCH('18 Clothes Drying Costs'!$D$16:$N$16,'18 Clothes Drying Costs'!G12)) *'18 Clothes Drying Costs'!$D$23:$N$23)</f>
        <v>1722.432146456191</v>
      </c>
      <c r="F57" s="142"/>
      <c r="G57" s="150" cm="1">
        <f t="array" ref="G57">SUMPRODUCT(ISNUMBER(SEARCH('18 Clothes Drying Costs'!$D$16:$M$16,'18 Clothes Drying Costs'!I12)) *'18 Clothes Drying Costs'!$D$23:$M$23)</f>
        <v>1368.0136279238127</v>
      </c>
      <c r="H57" s="131"/>
      <c r="I57" s="146"/>
      <c r="J57" s="146"/>
      <c r="K57" s="146"/>
      <c r="L57" s="146"/>
      <c r="M57" s="146"/>
      <c r="N57" s="58"/>
      <c r="O57" s="57"/>
    </row>
    <row r="58" spans="2:38" ht="199.9" customHeight="1" thickBot="1" x14ac:dyDescent="0.3">
      <c r="B58" s="1106"/>
      <c r="C58" s="137" t="s">
        <v>242</v>
      </c>
      <c r="D58" s="354" cm="1">
        <f t="array" ref="D58">SUMPRODUCT(ISNUMBER(SEARCH('18 Clothes Drying Costs'!$D$16:$M$16,'18 Clothes Drying Costs'!F13)) *'18 Clothes Drying Costs'!$D$23:$M$23)</f>
        <v>1040.8724104053906</v>
      </c>
      <c r="E58" s="354" cm="1">
        <f t="array" ref="E58">SUMPRODUCT(ISNUMBER(SEARCH('18 Clothes Drying Costs'!$D$16:$N$16,'18 Clothes Drying Costs'!G13)) *'18 Clothes Drying Costs'!$D$23:$N$23)</f>
        <v>1772.432146456191</v>
      </c>
      <c r="F58" s="354" cm="1">
        <f t="array" ref="F58">SUMPRODUCT(ISNUMBER(SEARCH('18 Clothes Drying Costs'!$D$16:$M$16,'18 Clothes Drying Costs'!H13)) *'18 Clothes Drying Costs'!$D$23:$M$23)</f>
        <v>1253.9626734647909</v>
      </c>
      <c r="G58" s="426"/>
      <c r="H58" s="58"/>
      <c r="I58" s="59"/>
      <c r="J58" s="59"/>
      <c r="K58" s="59"/>
      <c r="L58" s="59"/>
      <c r="M58" s="59"/>
      <c r="N58" s="57"/>
      <c r="O58" s="61"/>
      <c r="P58" s="61"/>
      <c r="Q58" s="61"/>
      <c r="R58" s="61"/>
      <c r="S58" s="61"/>
      <c r="T58" s="61"/>
      <c r="U58" s="61"/>
      <c r="V58" s="61"/>
      <c r="W58" s="61"/>
      <c r="X58" s="61"/>
      <c r="Y58" s="61"/>
      <c r="Z58" s="61"/>
      <c r="AA58" s="61"/>
      <c r="AB58" s="61"/>
      <c r="AC58" s="61"/>
      <c r="AD58" s="61"/>
      <c r="AE58" s="61"/>
      <c r="AF58" s="61"/>
      <c r="AG58" s="61"/>
      <c r="AH58" s="61"/>
      <c r="AI58" s="61"/>
      <c r="AJ58" s="61"/>
      <c r="AK58" s="61"/>
      <c r="AL58" s="61"/>
    </row>
    <row r="59" spans="2:38" ht="79.900000000000006" customHeight="1" thickBot="1" x14ac:dyDescent="0.3">
      <c r="B59" s="133"/>
      <c r="C59" s="157"/>
      <c r="D59" s="157"/>
      <c r="E59" s="157"/>
      <c r="F59" s="157"/>
      <c r="G59" s="157"/>
      <c r="H59" s="59"/>
      <c r="I59" s="57"/>
      <c r="J59" s="57"/>
      <c r="K59" s="57"/>
      <c r="L59" s="57"/>
      <c r="M59" s="57"/>
      <c r="N59" s="57"/>
      <c r="O59" s="57"/>
    </row>
    <row r="60" spans="2:38" ht="175.15" customHeight="1" x14ac:dyDescent="0.25">
      <c r="B60" s="1107" t="s">
        <v>546</v>
      </c>
      <c r="C60" s="1108"/>
      <c r="D60" s="1108"/>
      <c r="E60" s="1108"/>
      <c r="F60" s="1109"/>
      <c r="G60" s="365"/>
      <c r="H60" s="72"/>
      <c r="I60" s="57"/>
      <c r="J60" s="57"/>
      <c r="K60" s="57"/>
      <c r="L60" s="57"/>
      <c r="M60" s="57"/>
      <c r="N60" s="57"/>
      <c r="O60" s="57"/>
    </row>
    <row r="61" spans="2:38" ht="79.900000000000006" customHeight="1" x14ac:dyDescent="0.25">
      <c r="B61" s="1110" t="s">
        <v>287</v>
      </c>
      <c r="C61" s="1111"/>
      <c r="D61" s="1143" t="s">
        <v>282</v>
      </c>
      <c r="E61" s="1144"/>
      <c r="F61" s="1145"/>
      <c r="G61" s="151"/>
      <c r="H61" s="57"/>
      <c r="I61" s="57"/>
      <c r="J61" s="57"/>
      <c r="K61" s="57"/>
      <c r="L61" s="57"/>
      <c r="M61" s="57"/>
      <c r="N61" s="57"/>
      <c r="O61" s="57"/>
    </row>
    <row r="62" spans="2:38" ht="199.9" customHeight="1" x14ac:dyDescent="0.25">
      <c r="B62" s="1114"/>
      <c r="C62" s="1115"/>
      <c r="D62" s="147" t="s">
        <v>246</v>
      </c>
      <c r="E62" s="147" t="s">
        <v>242</v>
      </c>
      <c r="F62" s="148" t="s">
        <v>86</v>
      </c>
      <c r="G62" s="72"/>
      <c r="H62" s="57"/>
      <c r="I62" s="57"/>
      <c r="J62" s="57"/>
      <c r="K62" s="57"/>
      <c r="L62" s="57"/>
      <c r="M62" s="57"/>
      <c r="N62" s="57"/>
      <c r="O62" s="57"/>
    </row>
    <row r="63" spans="2:38" ht="199.9" customHeight="1" x14ac:dyDescent="0.25">
      <c r="B63" s="1134" t="s">
        <v>227</v>
      </c>
      <c r="C63" s="147" t="s">
        <v>246</v>
      </c>
      <c r="D63" s="142"/>
      <c r="E63" s="143" cm="1">
        <f t="array" ref="E63">SUMPRODUCT(ISNUMBER(SEARCH('17 Cooking Costs'!$E$18:$J$18, '17 Cooking Costs'!H12)) *'17 Cooking Costs'!$E$25:$J$25)</f>
        <v>943.85557878075861</v>
      </c>
      <c r="F63" s="150" cm="1">
        <f t="array" ref="F63">SUMPRODUCT(ISNUMBER(SEARCH('17 Cooking Costs'!$E$18:$J$18, '17 Cooking Costs'!I12)) *'17 Cooking Costs'!$E$25:$J$25)</f>
        <v>943.85557878075861</v>
      </c>
      <c r="G63" s="72"/>
      <c r="H63" s="57"/>
      <c r="I63" s="57"/>
      <c r="J63" s="57"/>
      <c r="K63" s="57"/>
      <c r="L63" s="57"/>
      <c r="M63" s="57"/>
      <c r="N63" s="57"/>
      <c r="O63" s="57"/>
    </row>
    <row r="64" spans="2:38" ht="199.9" customHeight="1" x14ac:dyDescent="0.25">
      <c r="B64" s="1105"/>
      <c r="C64" s="147" t="s">
        <v>242</v>
      </c>
      <c r="D64" s="143" cm="1">
        <f t="array" ref="D64">SUMPRODUCT(ISNUMBER(SEARCH('17 Cooking Costs'!$E$18:$J$18, '17 Cooking Costs'!G13)) *'17 Cooking Costs'!$E$25:$J$25)</f>
        <v>1040.8724104053906</v>
      </c>
      <c r="E64" s="142"/>
      <c r="F64" s="150" cm="1">
        <f t="array" ref="F64">SUMPRODUCT(ISNUMBER(SEARCH('17 Cooking Costs'!$E$18:$J$18, '17 Cooking Costs'!I13)) *'17 Cooking Costs'!$E$25:$J$25)</f>
        <v>1229.8617070874977</v>
      </c>
      <c r="G64" s="72"/>
      <c r="H64" s="57"/>
      <c r="I64" s="57"/>
      <c r="J64" s="57"/>
      <c r="K64" s="57"/>
      <c r="L64" s="57"/>
      <c r="M64" s="57"/>
      <c r="N64" s="57"/>
      <c r="O64" s="57"/>
    </row>
    <row r="65" spans="2:15" ht="199.9" customHeight="1" thickBot="1" x14ac:dyDescent="0.3">
      <c r="B65" s="1106"/>
      <c r="C65" s="137" t="s">
        <v>86</v>
      </c>
      <c r="D65" s="354" cm="1">
        <f t="array" ref="D65">SUMPRODUCT(ISNUMBER(SEARCH('17 Cooking Costs'!$E$18:$J$18, '17 Cooking Costs'!G14)) *'17 Cooking Costs'!$E$25:$J$25)</f>
        <v>1040.8724104053906</v>
      </c>
      <c r="E65" s="354" cm="1">
        <f t="array" ref="E65">SUMPRODUCT(ISNUMBER(SEARCH('17 Cooking Costs'!$E$18:$J$18, '17 Cooking Costs'!H14)) *'17 Cooking Costs'!$E$25:$J$25)</f>
        <v>1229.8617070874977</v>
      </c>
      <c r="F65" s="426"/>
      <c r="G65" s="72"/>
      <c r="H65" s="57"/>
      <c r="I65" s="57"/>
      <c r="J65" s="57"/>
      <c r="K65" s="57"/>
      <c r="L65" s="57"/>
      <c r="M65" s="57"/>
      <c r="N65" s="57"/>
      <c r="O65" s="57"/>
    </row>
    <row r="66" spans="2:15" x14ac:dyDescent="0.25">
      <c r="B66" s="151"/>
      <c r="C66" s="59"/>
      <c r="D66" s="59"/>
      <c r="E66" s="59"/>
      <c r="F66" s="59"/>
      <c r="G66" s="59"/>
      <c r="H66" s="57"/>
      <c r="I66" s="57"/>
      <c r="J66" s="57"/>
      <c r="K66" s="57"/>
      <c r="L66" s="57"/>
      <c r="M66" s="57"/>
      <c r="N66" s="57"/>
      <c r="O66" s="57"/>
    </row>
    <row r="67" spans="2:15" x14ac:dyDescent="0.25">
      <c r="C67" s="57"/>
      <c r="D67" s="57"/>
      <c r="E67" s="57"/>
      <c r="F67" s="57"/>
      <c r="G67" s="57"/>
      <c r="H67" s="57"/>
      <c r="I67" s="57"/>
      <c r="J67" s="57"/>
      <c r="K67" s="57"/>
      <c r="L67" s="57"/>
      <c r="M67" s="57"/>
      <c r="N67" s="57"/>
      <c r="O67" s="57"/>
    </row>
    <row r="68" spans="2:15" x14ac:dyDescent="0.25">
      <c r="C68" s="57"/>
      <c r="D68" s="57"/>
      <c r="E68" s="57"/>
      <c r="F68" s="57"/>
      <c r="G68" s="57"/>
      <c r="H68" s="57"/>
      <c r="I68" s="57"/>
      <c r="J68" s="57"/>
      <c r="K68" s="57"/>
      <c r="L68" s="57"/>
      <c r="M68" s="57"/>
      <c r="N68" s="57"/>
      <c r="O68" s="57"/>
    </row>
    <row r="69" spans="2:15" x14ac:dyDescent="0.25">
      <c r="C69" s="57"/>
      <c r="D69" s="57"/>
      <c r="E69" s="57"/>
      <c r="F69" s="57"/>
      <c r="G69" s="57"/>
      <c r="H69" s="57"/>
      <c r="I69" s="57"/>
      <c r="J69" s="57"/>
      <c r="K69" s="57"/>
      <c r="L69" s="57"/>
      <c r="M69" s="57"/>
      <c r="N69" s="57"/>
      <c r="O69" s="57"/>
    </row>
    <row r="70" spans="2:15" x14ac:dyDescent="0.25">
      <c r="C70" s="57"/>
      <c r="D70" s="57"/>
      <c r="E70" s="57"/>
      <c r="F70" s="57"/>
      <c r="G70" s="57"/>
      <c r="H70" s="57"/>
      <c r="I70" s="57"/>
      <c r="J70" s="57"/>
      <c r="K70" s="57"/>
      <c r="L70" s="57"/>
      <c r="M70" s="57"/>
      <c r="N70" s="57"/>
      <c r="O70" s="57"/>
    </row>
    <row r="71" spans="2:15" x14ac:dyDescent="0.25">
      <c r="C71" s="57"/>
      <c r="D71" s="57"/>
      <c r="E71" s="57"/>
      <c r="F71" s="57"/>
      <c r="G71" s="57"/>
      <c r="H71" s="57"/>
      <c r="I71" s="57"/>
      <c r="J71" s="57"/>
      <c r="K71" s="57"/>
      <c r="L71" s="57"/>
      <c r="M71" s="57"/>
      <c r="N71" s="57"/>
      <c r="O71" s="57"/>
    </row>
    <row r="72" spans="2:15" x14ac:dyDescent="0.25">
      <c r="C72" s="57"/>
      <c r="D72" s="57"/>
      <c r="E72" s="57"/>
      <c r="F72" s="57"/>
      <c r="G72" s="57"/>
      <c r="H72" s="57"/>
      <c r="I72" s="57"/>
      <c r="J72" s="57"/>
      <c r="K72" s="57"/>
      <c r="L72" s="57"/>
      <c r="M72" s="57"/>
      <c r="N72" s="57"/>
      <c r="O72" s="57"/>
    </row>
    <row r="73" spans="2:15" x14ac:dyDescent="0.25">
      <c r="C73" s="57"/>
      <c r="D73" s="57"/>
      <c r="E73" s="57"/>
      <c r="F73" s="57"/>
      <c r="G73" s="57"/>
      <c r="H73" s="57"/>
      <c r="I73" s="57"/>
      <c r="J73" s="57"/>
      <c r="K73" s="57"/>
      <c r="L73" s="57"/>
      <c r="M73" s="57"/>
      <c r="N73" s="57"/>
      <c r="O73" s="57"/>
    </row>
  </sheetData>
  <mergeCells count="88">
    <mergeCell ref="B63:B65"/>
    <mergeCell ref="B52:G52"/>
    <mergeCell ref="B53:C54"/>
    <mergeCell ref="D53:G53"/>
    <mergeCell ref="B55:B58"/>
    <mergeCell ref="B60:F60"/>
    <mergeCell ref="B61:C62"/>
    <mergeCell ref="D61:F61"/>
    <mergeCell ref="B26:B30"/>
    <mergeCell ref="Q26:Q30"/>
    <mergeCell ref="AF26:AF30"/>
    <mergeCell ref="B23:C25"/>
    <mergeCell ref="Q23:R25"/>
    <mergeCell ref="AF23:AG25"/>
    <mergeCell ref="G24:G25"/>
    <mergeCell ref="H24:H25"/>
    <mergeCell ref="D23:H23"/>
    <mergeCell ref="S23:W23"/>
    <mergeCell ref="AH23:AL23"/>
    <mergeCell ref="D24:D25"/>
    <mergeCell ref="E24:E25"/>
    <mergeCell ref="F24:F25"/>
    <mergeCell ref="AH7:AS7"/>
    <mergeCell ref="S24:S25"/>
    <mergeCell ref="T24:T25"/>
    <mergeCell ref="U24:U25"/>
    <mergeCell ref="V24:V25"/>
    <mergeCell ref="W24:W25"/>
    <mergeCell ref="B22:H22"/>
    <mergeCell ref="Q22:W22"/>
    <mergeCell ref="AF22:AL22"/>
    <mergeCell ref="B9:B20"/>
    <mergeCell ref="Q9:Q20"/>
    <mergeCell ref="AF9:AF20"/>
    <mergeCell ref="B7:C8"/>
    <mergeCell ref="D7:O7"/>
    <mergeCell ref="Q7:R8"/>
    <mergeCell ref="S7:AD7"/>
    <mergeCell ref="AF7:AG8"/>
    <mergeCell ref="L1:L3"/>
    <mergeCell ref="C5:O5"/>
    <mergeCell ref="B6:O6"/>
    <mergeCell ref="Q6:AD6"/>
    <mergeCell ref="AF6:AS6"/>
    <mergeCell ref="AH33:AL33"/>
    <mergeCell ref="D34:D35"/>
    <mergeCell ref="E34:E35"/>
    <mergeCell ref="F34:F35"/>
    <mergeCell ref="G34:G35"/>
    <mergeCell ref="H34:H35"/>
    <mergeCell ref="S34:S35"/>
    <mergeCell ref="T34:T35"/>
    <mergeCell ref="U34:U35"/>
    <mergeCell ref="AH43:AL43"/>
    <mergeCell ref="D44:D45"/>
    <mergeCell ref="E44:E45"/>
    <mergeCell ref="F44:F45"/>
    <mergeCell ref="G44:G45"/>
    <mergeCell ref="H44:H45"/>
    <mergeCell ref="S44:S45"/>
    <mergeCell ref="T44:T45"/>
    <mergeCell ref="U44:U45"/>
    <mergeCell ref="V44:V45"/>
    <mergeCell ref="W44:W45"/>
    <mergeCell ref="B46:B50"/>
    <mergeCell ref="Q46:Q50"/>
    <mergeCell ref="AF46:AF50"/>
    <mergeCell ref="B43:C45"/>
    <mergeCell ref="D43:H43"/>
    <mergeCell ref="Q43:R45"/>
    <mergeCell ref="S43:W43"/>
    <mergeCell ref="AF43:AG45"/>
    <mergeCell ref="B32:H32"/>
    <mergeCell ref="B42:H42"/>
    <mergeCell ref="Q42:W42"/>
    <mergeCell ref="AF42:AL42"/>
    <mergeCell ref="V34:V35"/>
    <mergeCell ref="W34:W35"/>
    <mergeCell ref="B36:B40"/>
    <mergeCell ref="Q36:Q40"/>
    <mergeCell ref="AF36:AF40"/>
    <mergeCell ref="Q32:W32"/>
    <mergeCell ref="AF32:AL32"/>
    <mergeCell ref="B33:C35"/>
    <mergeCell ref="D33:H33"/>
    <mergeCell ref="Q33:R35"/>
    <mergeCell ref="S33:W33"/>
    <mergeCell ref="AF33:AG35"/>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2E7E0-0358-42B8-8B2B-D66CF945D72D}">
  <sheetPr>
    <tabColor theme="3" tint="0.249977111117893"/>
  </sheetPr>
  <dimension ref="A1:AT73"/>
  <sheetViews>
    <sheetView zoomScale="25" zoomScaleNormal="25" workbookViewId="0">
      <pane ySplit="5" topLeftCell="A6" activePane="bottomLeft" state="frozen"/>
      <selection pane="bottomLeft" activeCell="A6" sqref="A6"/>
    </sheetView>
  </sheetViews>
  <sheetFormatPr defaultColWidth="9.140625" defaultRowHeight="15" x14ac:dyDescent="0.25"/>
  <cols>
    <col min="1" max="1" width="1.28515625" style="57" customWidth="1"/>
    <col min="2" max="2" width="20.7109375" style="72" customWidth="1"/>
    <col min="3" max="3" width="45.7109375" style="5" customWidth="1"/>
    <col min="4" max="4" width="40.7109375" style="5" customWidth="1"/>
    <col min="5" max="15" width="45.7109375" style="5" customWidth="1"/>
    <col min="16" max="16" width="9.140625" style="57"/>
    <col min="17" max="17" width="20.7109375" style="57" customWidth="1"/>
    <col min="18" max="18" width="45.7109375" style="57" customWidth="1"/>
    <col min="19" max="19" width="40.7109375" style="57" customWidth="1"/>
    <col min="20" max="30" width="45.7109375" style="57" customWidth="1"/>
    <col min="31" max="31" width="9.140625" style="57"/>
    <col min="32" max="32" width="20.7109375" style="57" customWidth="1"/>
    <col min="33" max="33" width="45.7109375" style="57" customWidth="1"/>
    <col min="34" max="34" width="40.7109375" style="57" customWidth="1"/>
    <col min="35" max="45" width="45.7109375" style="57" customWidth="1"/>
    <col min="46" max="16384" width="9.140625" style="57"/>
  </cols>
  <sheetData>
    <row r="1" spans="1:46" ht="32.25" customHeight="1" x14ac:dyDescent="0.25">
      <c r="C1" s="77" t="s">
        <v>280</v>
      </c>
      <c r="D1" s="380"/>
      <c r="E1" s="61"/>
      <c r="F1" s="78"/>
      <c r="G1" s="78"/>
      <c r="H1" s="129"/>
      <c r="I1" s="129"/>
      <c r="J1" s="129"/>
      <c r="K1" s="129"/>
      <c r="L1" s="1125" t="s">
        <v>516</v>
      </c>
      <c r="M1" s="1076"/>
      <c r="N1" s="129"/>
      <c r="O1" s="130"/>
      <c r="P1" s="60"/>
      <c r="S1" s="72"/>
    </row>
    <row r="2" spans="1:46" ht="26.1" customHeight="1" x14ac:dyDescent="0.25">
      <c r="B2" s="131"/>
      <c r="C2" s="425"/>
      <c r="D2" s="1078" t="s">
        <v>940</v>
      </c>
      <c r="E2" s="31"/>
      <c r="F2" s="379"/>
      <c r="G2" s="378"/>
      <c r="H2" s="378"/>
      <c r="I2" s="129"/>
      <c r="J2" s="129"/>
      <c r="K2" s="57"/>
      <c r="L2" s="1125"/>
      <c r="M2" s="1076"/>
      <c r="N2" s="129"/>
      <c r="O2" s="130"/>
      <c r="P2" s="60"/>
      <c r="S2" s="72"/>
    </row>
    <row r="3" spans="1:46" ht="25.5" customHeight="1" x14ac:dyDescent="0.45">
      <c r="B3" s="132"/>
      <c r="C3" s="59"/>
      <c r="D3" s="59"/>
      <c r="E3" s="377"/>
      <c r="F3" s="151"/>
      <c r="G3" s="59"/>
      <c r="H3" s="57"/>
      <c r="I3" s="57"/>
      <c r="J3" s="57"/>
      <c r="K3" s="57"/>
      <c r="L3" s="1125"/>
      <c r="M3" s="1077"/>
      <c r="N3" s="57"/>
      <c r="O3" s="60"/>
      <c r="P3" s="60"/>
      <c r="R3" s="376"/>
      <c r="S3" s="72"/>
    </row>
    <row r="4" spans="1:46" ht="26.1" customHeight="1" x14ac:dyDescent="0.35">
      <c r="B4" s="132"/>
      <c r="C4" s="375"/>
      <c r="D4" s="375"/>
      <c r="E4" s="134"/>
      <c r="F4" s="72"/>
      <c r="G4" s="57"/>
      <c r="H4" s="57"/>
      <c r="I4" s="57"/>
      <c r="J4" s="57"/>
      <c r="K4" s="57"/>
      <c r="L4" s="57"/>
      <c r="M4" s="57"/>
      <c r="N4" s="57"/>
      <c r="O4" s="60"/>
      <c r="Q4" s="59"/>
      <c r="R4" s="59"/>
    </row>
    <row r="5" spans="1:46" ht="99.75" customHeight="1" thickBot="1" x14ac:dyDescent="0.3">
      <c r="B5" s="135"/>
      <c r="C5" s="1126" t="s">
        <v>1178</v>
      </c>
      <c r="D5" s="1127"/>
      <c r="E5" s="1127"/>
      <c r="F5" s="1127"/>
      <c r="G5" s="1127"/>
      <c r="H5" s="1127"/>
      <c r="I5" s="1127"/>
      <c r="J5" s="1127"/>
      <c r="K5" s="1127"/>
      <c r="L5" s="1127"/>
      <c r="M5" s="1127"/>
      <c r="N5" s="1127"/>
      <c r="O5" s="1128"/>
    </row>
    <row r="6" spans="1:46" ht="175.5" customHeight="1" x14ac:dyDescent="0.25">
      <c r="A6" s="60"/>
      <c r="B6" s="1129" t="s">
        <v>642</v>
      </c>
      <c r="C6" s="1130"/>
      <c r="D6" s="1130"/>
      <c r="E6" s="1130"/>
      <c r="F6" s="1130"/>
      <c r="G6" s="1130"/>
      <c r="H6" s="1130"/>
      <c r="I6" s="1130"/>
      <c r="J6" s="1130"/>
      <c r="K6" s="1130"/>
      <c r="L6" s="1130"/>
      <c r="M6" s="1130"/>
      <c r="N6" s="1130"/>
      <c r="O6" s="1131"/>
      <c r="P6" s="72"/>
      <c r="Q6" s="1129" t="s">
        <v>1068</v>
      </c>
      <c r="R6" s="1130"/>
      <c r="S6" s="1130"/>
      <c r="T6" s="1130"/>
      <c r="U6" s="1130"/>
      <c r="V6" s="1130"/>
      <c r="W6" s="1130"/>
      <c r="X6" s="1130"/>
      <c r="Y6" s="1130"/>
      <c r="Z6" s="1130"/>
      <c r="AA6" s="1130"/>
      <c r="AB6" s="1130"/>
      <c r="AC6" s="1130"/>
      <c r="AD6" s="1131"/>
      <c r="AE6" s="72"/>
      <c r="AF6" s="1129" t="s">
        <v>1069</v>
      </c>
      <c r="AG6" s="1130"/>
      <c r="AH6" s="1130"/>
      <c r="AI6" s="1130"/>
      <c r="AJ6" s="1130"/>
      <c r="AK6" s="1130"/>
      <c r="AL6" s="1130"/>
      <c r="AM6" s="1130"/>
      <c r="AN6" s="1130"/>
      <c r="AO6" s="1130"/>
      <c r="AP6" s="1130"/>
      <c r="AQ6" s="1130"/>
      <c r="AR6" s="1130"/>
      <c r="AS6" s="1131"/>
      <c r="AT6" s="72"/>
    </row>
    <row r="7" spans="1:46" ht="36.950000000000003" customHeight="1" x14ac:dyDescent="0.25">
      <c r="A7" s="60"/>
      <c r="B7" s="1110" t="s">
        <v>526</v>
      </c>
      <c r="C7" s="1111"/>
      <c r="D7" s="1116" t="s">
        <v>282</v>
      </c>
      <c r="E7" s="1117"/>
      <c r="F7" s="1117"/>
      <c r="G7" s="1117"/>
      <c r="H7" s="1117"/>
      <c r="I7" s="1117"/>
      <c r="J7" s="1117"/>
      <c r="K7" s="1117"/>
      <c r="L7" s="1117"/>
      <c r="M7" s="1117"/>
      <c r="N7" s="1117"/>
      <c r="O7" s="1118"/>
      <c r="P7" s="72"/>
      <c r="Q7" s="1110" t="s">
        <v>526</v>
      </c>
      <c r="R7" s="1111"/>
      <c r="S7" s="1116" t="s">
        <v>282</v>
      </c>
      <c r="T7" s="1117"/>
      <c r="U7" s="1117"/>
      <c r="V7" s="1117"/>
      <c r="W7" s="1117"/>
      <c r="X7" s="1117"/>
      <c r="Y7" s="1117"/>
      <c r="Z7" s="1117"/>
      <c r="AA7" s="1117"/>
      <c r="AB7" s="1117"/>
      <c r="AC7" s="1117"/>
      <c r="AD7" s="1118"/>
      <c r="AE7" s="72"/>
      <c r="AF7" s="1110" t="s">
        <v>526</v>
      </c>
      <c r="AG7" s="1111"/>
      <c r="AH7" s="1116" t="s">
        <v>282</v>
      </c>
      <c r="AI7" s="1117"/>
      <c r="AJ7" s="1117"/>
      <c r="AK7" s="1117"/>
      <c r="AL7" s="1117"/>
      <c r="AM7" s="1117"/>
      <c r="AN7" s="1117"/>
      <c r="AO7" s="1117"/>
      <c r="AP7" s="1117"/>
      <c r="AQ7" s="1117"/>
      <c r="AR7" s="1117"/>
      <c r="AS7" s="1118"/>
      <c r="AT7" s="72"/>
    </row>
    <row r="8" spans="1:46" ht="177" customHeight="1" x14ac:dyDescent="0.25">
      <c r="A8" s="60"/>
      <c r="B8" s="1114"/>
      <c r="C8" s="1115"/>
      <c r="D8" s="73" t="s">
        <v>241</v>
      </c>
      <c r="E8" s="179" t="s">
        <v>283</v>
      </c>
      <c r="F8" s="179" t="s">
        <v>336</v>
      </c>
      <c r="G8" s="179" t="s">
        <v>283</v>
      </c>
      <c r="H8" s="179" t="s">
        <v>336</v>
      </c>
      <c r="I8" s="179" t="s">
        <v>335</v>
      </c>
      <c r="J8" s="179" t="s">
        <v>284</v>
      </c>
      <c r="K8" s="179" t="s">
        <v>284</v>
      </c>
      <c r="L8" s="179" t="s">
        <v>284</v>
      </c>
      <c r="M8" s="179" t="s">
        <v>284</v>
      </c>
      <c r="N8" s="179" t="s">
        <v>285</v>
      </c>
      <c r="O8" s="180" t="s">
        <v>286</v>
      </c>
      <c r="P8" s="72"/>
      <c r="Q8" s="1114"/>
      <c r="R8" s="1115"/>
      <c r="S8" s="73" t="s">
        <v>241</v>
      </c>
      <c r="T8" s="179" t="s">
        <v>283</v>
      </c>
      <c r="U8" s="179" t="s">
        <v>336</v>
      </c>
      <c r="V8" s="179" t="s">
        <v>283</v>
      </c>
      <c r="W8" s="179" t="s">
        <v>336</v>
      </c>
      <c r="X8" s="179" t="s">
        <v>335</v>
      </c>
      <c r="Y8" s="179" t="s">
        <v>284</v>
      </c>
      <c r="Z8" s="179" t="s">
        <v>284</v>
      </c>
      <c r="AA8" s="179" t="s">
        <v>284</v>
      </c>
      <c r="AB8" s="179" t="s">
        <v>284</v>
      </c>
      <c r="AC8" s="179" t="s">
        <v>285</v>
      </c>
      <c r="AD8" s="180" t="s">
        <v>286</v>
      </c>
      <c r="AE8" s="72"/>
      <c r="AF8" s="1114"/>
      <c r="AG8" s="1115"/>
      <c r="AH8" s="73" t="s">
        <v>241</v>
      </c>
      <c r="AI8" s="179" t="s">
        <v>283</v>
      </c>
      <c r="AJ8" s="179" t="s">
        <v>336</v>
      </c>
      <c r="AK8" s="179" t="s">
        <v>283</v>
      </c>
      <c r="AL8" s="179" t="s">
        <v>336</v>
      </c>
      <c r="AM8" s="179" t="s">
        <v>335</v>
      </c>
      <c r="AN8" s="179" t="s">
        <v>284</v>
      </c>
      <c r="AO8" s="179" t="s">
        <v>284</v>
      </c>
      <c r="AP8" s="179" t="s">
        <v>284</v>
      </c>
      <c r="AQ8" s="179" t="s">
        <v>284</v>
      </c>
      <c r="AR8" s="179" t="s">
        <v>285</v>
      </c>
      <c r="AS8" s="180" t="s">
        <v>286</v>
      </c>
      <c r="AT8" s="72"/>
    </row>
    <row r="9" spans="1:46" ht="99.95" customHeight="1" thickBot="1" x14ac:dyDescent="0.3">
      <c r="A9" s="60"/>
      <c r="B9" s="1134" t="s">
        <v>227</v>
      </c>
      <c r="C9" s="136" t="s">
        <v>241</v>
      </c>
      <c r="D9" s="136" t="s">
        <v>150</v>
      </c>
      <c r="E9" s="137" t="s">
        <v>243</v>
      </c>
      <c r="F9" s="137" t="s">
        <v>243</v>
      </c>
      <c r="G9" s="137" t="s">
        <v>245</v>
      </c>
      <c r="H9" s="137" t="s">
        <v>245</v>
      </c>
      <c r="I9" s="137" t="s">
        <v>243</v>
      </c>
      <c r="J9" s="137" t="s">
        <v>254</v>
      </c>
      <c r="K9" s="137" t="s">
        <v>248</v>
      </c>
      <c r="L9" s="137" t="s">
        <v>249</v>
      </c>
      <c r="M9" s="137" t="s">
        <v>250</v>
      </c>
      <c r="N9" s="137" t="s">
        <v>243</v>
      </c>
      <c r="O9" s="138" t="s">
        <v>253</v>
      </c>
      <c r="P9" s="72"/>
      <c r="Q9" s="1134" t="s">
        <v>227</v>
      </c>
      <c r="R9" s="136" t="s">
        <v>241</v>
      </c>
      <c r="S9" s="136" t="s">
        <v>150</v>
      </c>
      <c r="T9" s="137" t="s">
        <v>243</v>
      </c>
      <c r="U9" s="137" t="s">
        <v>243</v>
      </c>
      <c r="V9" s="137" t="s">
        <v>245</v>
      </c>
      <c r="W9" s="137" t="s">
        <v>245</v>
      </c>
      <c r="X9" s="137" t="s">
        <v>243</v>
      </c>
      <c r="Y9" s="137" t="s">
        <v>254</v>
      </c>
      <c r="Z9" s="137" t="s">
        <v>248</v>
      </c>
      <c r="AA9" s="137" t="s">
        <v>249</v>
      </c>
      <c r="AB9" s="137" t="s">
        <v>250</v>
      </c>
      <c r="AC9" s="137" t="s">
        <v>243</v>
      </c>
      <c r="AD9" s="138" t="s">
        <v>253</v>
      </c>
      <c r="AE9" s="72"/>
      <c r="AF9" s="1134" t="s">
        <v>227</v>
      </c>
      <c r="AG9" s="136" t="s">
        <v>241</v>
      </c>
      <c r="AH9" s="136" t="s">
        <v>150</v>
      </c>
      <c r="AI9" s="137" t="s">
        <v>243</v>
      </c>
      <c r="AJ9" s="137" t="s">
        <v>243</v>
      </c>
      <c r="AK9" s="137" t="s">
        <v>245</v>
      </c>
      <c r="AL9" s="137" t="s">
        <v>245</v>
      </c>
      <c r="AM9" s="137" t="s">
        <v>243</v>
      </c>
      <c r="AN9" s="137" t="s">
        <v>254</v>
      </c>
      <c r="AO9" s="137" t="s">
        <v>248</v>
      </c>
      <c r="AP9" s="137" t="s">
        <v>249</v>
      </c>
      <c r="AQ9" s="137" t="s">
        <v>250</v>
      </c>
      <c r="AR9" s="137" t="s">
        <v>243</v>
      </c>
      <c r="AS9" s="138" t="s">
        <v>253</v>
      </c>
      <c r="AT9" s="72"/>
    </row>
    <row r="10" spans="1:46" ht="200.1" customHeight="1" x14ac:dyDescent="0.25">
      <c r="A10" s="60"/>
      <c r="B10" s="1105"/>
      <c r="C10" s="181" t="s">
        <v>242</v>
      </c>
      <c r="D10" s="181" t="s">
        <v>243</v>
      </c>
      <c r="E10" s="139"/>
      <c r="F10" s="140" cm="1">
        <f t="array" ref="F10">SUMPRODUCT(ISNUMBER( SEARCH('13 Space Heating Costs'!$C$7:$AW$7,'12 Space Heating Subcomponents'!H12)) *'13 Space Heating Costs'!$C$15:$AW$15)</f>
        <v>4040.0054317772001</v>
      </c>
      <c r="G10" s="140" cm="1">
        <f t="array" ref="G10">SUMPRODUCT(ISNUMBER( SEARCH('13 Space Heating Costs'!$C$7:$AW$7,'12 Space Heating Subcomponents'!I12)) *'13 Space Heating Costs'!$C$15:$AW$15)</f>
        <v>5614.9937839433105</v>
      </c>
      <c r="H10" s="140" cm="1">
        <f t="array" ref="H10">SUMPRODUCT(ISNUMBER( SEARCH('13 Space Heating Costs'!$C$7:$AW$7,'12 Space Heating Subcomponents'!J12)) *'13 Space Heating Costs'!$C$15:$AW$15)</f>
        <v>7335.4525674806728</v>
      </c>
      <c r="I10" s="140" cm="1">
        <f t="array" ref="I10">SUMPRODUCT(ISNUMBER( SEARCH('13 Space Heating Costs'!$C$7:$AW$7,'12 Space Heating Subcomponents'!K12)) *'13 Space Heating Costs'!$C$15:$AW$15)</f>
        <v>3249.9299003693632</v>
      </c>
      <c r="J10" s="140" cm="1">
        <f t="array" ref="J10">SUMPRODUCT(ISNUMBER( SEARCH('13 Space Heating Costs'!$C$7:$AW$7,'12 Space Heating Subcomponents'!L12)) *'13 Space Heating Costs'!$C$15:$AW$15)</f>
        <v>6499.4981351785063</v>
      </c>
      <c r="K10" s="140" cm="1">
        <f t="array" ref="K10">SUMPRODUCT(ISNUMBER( SEARCH('13 Space Heating Costs'!$C$7:$AW$7,'12 Space Heating Subcomponents'!M12)) *'13 Space Heating Costs'!$C$15:$AW$15)</f>
        <v>3754.5978102069894</v>
      </c>
      <c r="L10" s="140" cm="1">
        <f t="array" ref="L10">SUMPRODUCT(ISNUMBER( SEARCH('13 Space Heating Costs'!$C$7:$AW$7,'12 Space Heating Subcomponents'!N12)) *'13 Space Heating Costs'!$C$15:$AW$15)</f>
        <v>7356.2866093801122</v>
      </c>
      <c r="M10" s="140" cm="1">
        <f t="array" ref="M10">SUMPRODUCT(ISNUMBER( SEARCH('13 Space Heating Costs'!$C$7:$AW$7,'12 Space Heating Subcomponents'!O12)) *'13 Space Heating Costs'!$C$15:$AW$15)</f>
        <v>3754.5978102069894</v>
      </c>
      <c r="N10" s="140" cm="1">
        <f t="array" ref="N10">SUMPRODUCT(ISNUMBER( SEARCH('13 Space Heating Costs'!$C$7:$AW$7,'12 Space Heating Subcomponents'!P12)) *'13 Space Heating Costs'!$C$15:$AW$15)</f>
        <v>3718.8531255168928</v>
      </c>
      <c r="O10" s="402" cm="1">
        <f t="array" ref="O10">SUMPRODUCT(ISNUMBER( SEARCH('13 Space Heating Costs'!$C$7:$AW$7,'12 Space Heating Subcomponents'!Q12)) *'13 Space Heating Costs'!$C$15:$AW$15)</f>
        <v>9114.5954861552964</v>
      </c>
      <c r="P10" s="72"/>
      <c r="Q10" s="1105"/>
      <c r="R10" s="181" t="s">
        <v>242</v>
      </c>
      <c r="S10" s="181" t="s">
        <v>243</v>
      </c>
      <c r="T10" s="139"/>
      <c r="U10" s="140" cm="1">
        <f t="array" ref="U10">SUMPRODUCT(ISNUMBER( SEARCH('13 Space Heating Costs'!$C$7:$AW$7,'12 Space Heating Subcomponents'!H28)) *'13 Space Heating Costs'!$C$15:$AW$15)</f>
        <v>4830.3463555574999</v>
      </c>
      <c r="V10" s="140" cm="1">
        <f t="array" ref="V10">SUMPRODUCT(ISNUMBER( SEARCH('13 Space Heating Costs'!$C$7:$AW$7,'12 Space Heating Subcomponents'!I28)) *'13 Space Heating Costs'!$C$15:$AW$15)</f>
        <v>6405.3347077236103</v>
      </c>
      <c r="W10" s="140" cm="1">
        <f t="array" ref="W10">SUMPRODUCT(ISNUMBER( SEARCH('13 Space Heating Costs'!$C$7:$AW$7,'12 Space Heating Subcomponents'!J28)) *'13 Space Heating Costs'!$C$15:$AW$15)</f>
        <v>8125.7934912609726</v>
      </c>
      <c r="X10" s="140" cm="1">
        <f t="array" ref="X10">SUMPRODUCT(ISNUMBER( SEARCH('13 Space Heating Costs'!$C$7:$AW$7,'12 Space Heating Subcomponents'!K28)) *'13 Space Heating Costs'!$C$15:$AW$15)</f>
        <v>4040.270824149663</v>
      </c>
      <c r="Y10" s="140" cm="1">
        <f t="array" ref="Y10">SUMPRODUCT(ISNUMBER( SEARCH('13 Space Heating Costs'!$C$7:$AW$7,'12 Space Heating Subcomponents'!L28)) *'13 Space Heating Costs'!$C$15:$AW$15)</f>
        <v>7289.8390589588062</v>
      </c>
      <c r="Z10" s="140" cm="1">
        <f t="array" ref="Z10">SUMPRODUCT(ISNUMBER( SEARCH('13 Space Heating Costs'!$C$7:$AW$7,'12 Space Heating Subcomponents'!M28)) *'13 Space Heating Costs'!$C$15:$AW$15)</f>
        <v>4544.9387339872892</v>
      </c>
      <c r="AA10" s="140" cm="1">
        <f t="array" ref="AA10">SUMPRODUCT(ISNUMBER( SEARCH('13 Space Heating Costs'!$C$7:$AW$7,'12 Space Heating Subcomponents'!N28)) *'13 Space Heating Costs'!$C$15:$AW$15)</f>
        <v>8146.627533160412</v>
      </c>
      <c r="AB10" s="140" cm="1">
        <f t="array" ref="AB10">SUMPRODUCT(ISNUMBER( SEARCH('13 Space Heating Costs'!$C$7:$AW$7,'12 Space Heating Subcomponents'!O28)) *'13 Space Heating Costs'!$C$15:$AW$15)</f>
        <v>4544.9387339872892</v>
      </c>
      <c r="AC10" s="140" cm="1">
        <f t="array" ref="AC10">SUMPRODUCT(ISNUMBER( SEARCH('13 Space Heating Costs'!$C$7:$AW$7,'12 Space Heating Subcomponents'!P28)) *'13 Space Heating Costs'!$C$15:$AW$15)</f>
        <v>4509.1940492971926</v>
      </c>
      <c r="AD10" s="402" cm="1">
        <f t="array" ref="AD10">SUMPRODUCT(ISNUMBER( SEARCH('13 Space Heating Costs'!$C$7:$AW$7,'12 Space Heating Subcomponents'!Q28)) *'13 Space Heating Costs'!$C$15:$AW$15)</f>
        <v>9904.9364099355953</v>
      </c>
      <c r="AE10" s="72"/>
      <c r="AF10" s="1105"/>
      <c r="AG10" s="181" t="s">
        <v>242</v>
      </c>
      <c r="AH10" s="181" t="s">
        <v>243</v>
      </c>
      <c r="AI10" s="139"/>
      <c r="AJ10" s="140" cm="1">
        <f t="array" ref="AJ10">SUMPRODUCT(ISNUMBER( SEARCH('13 Space Heating Costs'!$C$7:$AW$7,'12 Space Heating Subcomponents'!H44)) *'13 Space Heating Costs'!$C$15:$AW$15)</f>
        <v>3656.5138043866564</v>
      </c>
      <c r="AK10" s="140" cm="1">
        <f t="array" ref="AK10">SUMPRODUCT(ISNUMBER( SEARCH('13 Space Heating Costs'!$C$7:$AW$7,'12 Space Heating Subcomponents'!I44)) *'13 Space Heating Costs'!$C$15:$AW$15)</f>
        <v>5231.5021565527668</v>
      </c>
      <c r="AL10" s="140" cm="1">
        <f t="array" ref="AL10">SUMPRODUCT(ISNUMBER( SEARCH('13 Space Heating Costs'!$C$7:$AW$7,'12 Space Heating Subcomponents'!J44)) *'13 Space Heating Costs'!$C$15:$AW$15)</f>
        <v>6951.960940090129</v>
      </c>
      <c r="AM10" s="140" cm="1">
        <f t="array" ref="AM10">SUMPRODUCT(ISNUMBER( SEARCH('13 Space Heating Costs'!$C$7:$AW$7,'12 Space Heating Subcomponents'!K44)) *'13 Space Heating Costs'!$C$15:$AW$15)</f>
        <v>2866.4382729788194</v>
      </c>
      <c r="AN10" s="140" cm="1">
        <f t="array" ref="AN10">SUMPRODUCT(ISNUMBER( SEARCH('13 Space Heating Costs'!$C$7:$AW$7,'12 Space Heating Subcomponents'!L44)) *'13 Space Heating Costs'!$C$15:$AW$15)</f>
        <v>6116.0065077879626</v>
      </c>
      <c r="AO10" s="140" cm="1">
        <f t="array" ref="AO10">SUMPRODUCT(ISNUMBER( SEARCH('13 Space Heating Costs'!$C$7:$AW$7,'12 Space Heating Subcomponents'!M44)) *'13 Space Heating Costs'!$C$15:$AW$15)</f>
        <v>3371.1061828164457</v>
      </c>
      <c r="AP10" s="140" cm="1">
        <f t="array" ref="AP10">SUMPRODUCT(ISNUMBER( SEARCH('13 Space Heating Costs'!$C$7:$AW$7,'12 Space Heating Subcomponents'!N44)) *'13 Space Heating Costs'!$C$15:$AW$15)</f>
        <v>6972.7949819895684</v>
      </c>
      <c r="AQ10" s="140" cm="1">
        <f t="array" ref="AQ10">SUMPRODUCT(ISNUMBER( SEARCH('13 Space Heating Costs'!$C$7:$AW$7,'12 Space Heating Subcomponents'!O44)) *'13 Space Heating Costs'!$C$15:$AW$15)</f>
        <v>3371.1061828164457</v>
      </c>
      <c r="AR10" s="140" cm="1">
        <f t="array" ref="AR10">SUMPRODUCT(ISNUMBER( SEARCH('13 Space Heating Costs'!$C$7:$AW$7,'12 Space Heating Subcomponents'!P44)) *'13 Space Heating Costs'!$C$15:$AW$15)</f>
        <v>3335.361498126349</v>
      </c>
      <c r="AS10" s="402" cm="1">
        <f t="array" ref="AS10">SUMPRODUCT(ISNUMBER( SEARCH('13 Space Heating Costs'!$C$7:$AW$7,'12 Space Heating Subcomponents'!Q44)) *'13 Space Heating Costs'!$C$15:$AW$15)</f>
        <v>8731.1038587647527</v>
      </c>
      <c r="AT10" s="72"/>
    </row>
    <row r="11" spans="1:46" ht="200.1" customHeight="1" x14ac:dyDescent="0.25">
      <c r="A11" s="60"/>
      <c r="B11" s="1105"/>
      <c r="C11" s="182" t="s">
        <v>244</v>
      </c>
      <c r="D11" s="182" t="s">
        <v>243</v>
      </c>
      <c r="E11" s="139"/>
      <c r="F11" s="139"/>
      <c r="G11" s="139"/>
      <c r="H11" s="139"/>
      <c r="I11" s="139"/>
      <c r="J11" s="139"/>
      <c r="K11" s="139"/>
      <c r="L11" s="139"/>
      <c r="M11" s="139"/>
      <c r="N11" s="139"/>
      <c r="O11" s="141"/>
      <c r="P11" s="72"/>
      <c r="Q11" s="1105"/>
      <c r="R11" s="182" t="s">
        <v>244</v>
      </c>
      <c r="S11" s="182" t="s">
        <v>243</v>
      </c>
      <c r="T11" s="139"/>
      <c r="U11" s="139"/>
      <c r="V11" s="139"/>
      <c r="W11" s="139"/>
      <c r="X11" s="139"/>
      <c r="Y11" s="139"/>
      <c r="Z11" s="139"/>
      <c r="AA11" s="139"/>
      <c r="AB11" s="139"/>
      <c r="AC11" s="139"/>
      <c r="AD11" s="141"/>
      <c r="AE11" s="72"/>
      <c r="AF11" s="1105"/>
      <c r="AG11" s="182" t="s">
        <v>244</v>
      </c>
      <c r="AH11" s="182" t="s">
        <v>243</v>
      </c>
      <c r="AI11" s="139"/>
      <c r="AJ11" s="139"/>
      <c r="AK11" s="139"/>
      <c r="AL11" s="139"/>
      <c r="AM11" s="139"/>
      <c r="AN11" s="139"/>
      <c r="AO11" s="139"/>
      <c r="AP11" s="139"/>
      <c r="AQ11" s="139"/>
      <c r="AR11" s="139"/>
      <c r="AS11" s="141"/>
      <c r="AT11" s="72"/>
    </row>
    <row r="12" spans="1:46" ht="200.1" customHeight="1" x14ac:dyDescent="0.25">
      <c r="A12" s="60"/>
      <c r="B12" s="1105"/>
      <c r="C12" s="181" t="s">
        <v>242</v>
      </c>
      <c r="D12" s="181" t="s">
        <v>245</v>
      </c>
      <c r="E12" s="140" cm="1">
        <f t="array" ref="E12">SUMPRODUCT(ISNUMBER( SEARCH('13 Space Heating Costs'!$C$7:$AW$7,'12 Space Heating Subcomponents'!G14)) *'13 Space Heating Costs'!$C$15:$AW$15)</f>
        <v>7360.0807310904047</v>
      </c>
      <c r="F12" s="140" cm="1">
        <f t="array" ref="F12">SUMPRODUCT(ISNUMBER( SEARCH('13 Space Heating Costs'!$C$7:$AW$7,'12 Space Heating Subcomponents'!H14)) *'13 Space Heating Costs'!$C$15:$AW$15)</f>
        <v>9074.4223278418558</v>
      </c>
      <c r="G12" s="139"/>
      <c r="H12" s="140" cm="1">
        <f t="array" ref="H12">SUMPRODUCT(ISNUMBER( SEARCH('13 Space Heating Costs'!$C$7:$AW$7,'12 Space Heating Subcomponents'!J14)) *'13 Space Heating Costs'!$C$15:$AW$15)</f>
        <v>3585.8133350891621</v>
      </c>
      <c r="I12" s="140" cm="1">
        <f t="array" ref="I12">SUMPRODUCT(ISNUMBER( SEARCH('13 Space Heating Costs'!$C$7:$AW$7,'12 Space Heating Subcomponents'!K14)) *'13 Space Heating Costs'!$C$15:$AW$15)</f>
        <v>7429.4953295430332</v>
      </c>
      <c r="J12" s="140" cm="1">
        <f t="array" ref="J12">SUMPRODUCT(ISNUMBER( SEARCH('13 Space Heating Costs'!$C$7:$AW$7,'12 Space Heating Subcomponents'!L14)) *'13 Space Heating Costs'!$C$15:$AW$15)</f>
        <v>7383.6164286487037</v>
      </c>
      <c r="K12" s="140" cm="1">
        <f t="array" ref="K12">SUMPRODUCT(ISNUMBER( SEARCH('13 Space Heating Costs'!$C$7:$AW$7,'12 Space Heating Subcomponents'!M14)) *'13 Space Heating Costs'!$C$15:$AW$15)</f>
        <v>8789.014706271646</v>
      </c>
      <c r="L12" s="140" cm="1">
        <f t="array" ref="L12">SUMPRODUCT(ISNUMBER( SEARCH('13 Space Heating Costs'!$C$7:$AW$7,'12 Space Heating Subcomponents'!N14)) *'13 Space Heating Costs'!$C$15:$AW$15)</f>
        <v>8240.4049028503105</v>
      </c>
      <c r="M12" s="140" cm="1">
        <f t="array" ref="M12">SUMPRODUCT(ISNUMBER( SEARCH('13 Space Heating Costs'!$C$7:$AW$7,'12 Space Heating Subcomponents'!O14)) *'13 Space Heating Costs'!$C$15:$AW$15)</f>
        <v>8789.014706271646</v>
      </c>
      <c r="N12" s="140" cm="1">
        <f t="array" ref="N12">SUMPRODUCT(ISNUMBER( SEARCH('13 Space Heating Costs'!$C$7:$AW$7,'12 Space Heating Subcomponents'!P14)) *'13 Space Heating Costs'!$C$15:$AW$15)</f>
        <v>8753.2700215815494</v>
      </c>
      <c r="O12" s="402" cm="1">
        <f t="array" ref="O12">SUMPRODUCT(ISNUMBER( SEARCH('13 Space Heating Costs'!$C$7:$AW$7,'12 Space Heating Subcomponents'!Q14)) *'13 Space Heating Costs'!$C$15:$AW$15)</f>
        <v>13294.160915328968</v>
      </c>
      <c r="P12" s="72"/>
      <c r="Q12" s="1105"/>
      <c r="R12" s="181" t="s">
        <v>242</v>
      </c>
      <c r="S12" s="181" t="s">
        <v>245</v>
      </c>
      <c r="T12" s="140" cm="1">
        <f t="array" ref="T12">SUMPRODUCT(ISNUMBER( SEARCH('13 Space Heating Costs'!$C$7:$AW$7,'12 Space Heating Subcomponents'!G30)) *'13 Space Heating Costs'!$C$15:$AW$15)</f>
        <v>7829.6137515587425</v>
      </c>
      <c r="U12" s="140" cm="1">
        <f t="array" ref="U12">SUMPRODUCT(ISNUMBER( SEARCH('13 Space Heating Costs'!$C$7:$AW$7,'12 Space Heating Subcomponents'!H30)) *'13 Space Heating Costs'!$C$15:$AW$15)</f>
        <v>9543.9553483101936</v>
      </c>
      <c r="V12" s="139"/>
      <c r="W12" s="140" cm="1">
        <f t="array" ref="W12">SUMPRODUCT(ISNUMBER( SEARCH('13 Space Heating Costs'!$C$7:$AW$7,'12 Space Heating Subcomponents'!J30)) *'13 Space Heating Costs'!$C$15:$AW$15)</f>
        <v>4055.3463555574999</v>
      </c>
      <c r="X12" s="140" cm="1">
        <f t="array" ref="X12">SUMPRODUCT(ISNUMBER( SEARCH('13 Space Heating Costs'!$C$7:$AW$7,'12 Space Heating Subcomponents'!K30)) *'13 Space Heating Costs'!$C$15:$AW$15)</f>
        <v>7899.028350011371</v>
      </c>
      <c r="Y12" s="140" cm="1">
        <f t="array" ref="Y12">SUMPRODUCT(ISNUMBER( SEARCH('13 Space Heating Costs'!$C$7:$AW$7,'12 Space Heating Subcomponents'!L30)) *'13 Space Heating Costs'!$C$15:$AW$15)</f>
        <v>7853.1494491170415</v>
      </c>
      <c r="Z12" s="140" cm="1">
        <f t="array" ref="Z12">SUMPRODUCT(ISNUMBER( SEARCH('13 Space Heating Costs'!$C$7:$AW$7,'12 Space Heating Subcomponents'!M30)) *'13 Space Heating Costs'!$C$15:$AW$15)</f>
        <v>9258.5477267399838</v>
      </c>
      <c r="AA12" s="140" cm="1">
        <f t="array" ref="AA12">SUMPRODUCT(ISNUMBER( SEARCH('13 Space Heating Costs'!$C$7:$AW$7,'12 Space Heating Subcomponents'!N30)) *'13 Space Heating Costs'!$C$15:$AW$15)</f>
        <v>8709.9379233186464</v>
      </c>
      <c r="AB12" s="140" cm="1">
        <f t="array" ref="AB12">SUMPRODUCT(ISNUMBER( SEARCH('13 Space Heating Costs'!$C$7:$AW$7,'12 Space Heating Subcomponents'!O30)) *'13 Space Heating Costs'!$C$15:$AW$15)</f>
        <v>9258.5477267399838</v>
      </c>
      <c r="AC12" s="140" cm="1">
        <f t="array" ref="AC12">SUMPRODUCT(ISNUMBER( SEARCH('13 Space Heating Costs'!$C$7:$AW$7,'12 Space Heating Subcomponents'!P30)) *'13 Space Heating Costs'!$C$15:$AW$15)</f>
        <v>9222.8030420498853</v>
      </c>
      <c r="AD12" s="402" cm="1">
        <f t="array" ref="AD12">SUMPRODUCT(ISNUMBER( SEARCH('13 Space Heating Costs'!$C$7:$AW$7,'12 Space Heating Subcomponents'!Q30)) *'13 Space Heating Costs'!$C$15:$AW$15)</f>
        <v>13763.693935797304</v>
      </c>
      <c r="AE12" s="72"/>
      <c r="AF12" s="1105"/>
      <c r="AG12" s="181" t="s">
        <v>242</v>
      </c>
      <c r="AH12" s="181" t="s">
        <v>245</v>
      </c>
      <c r="AI12" s="140" cm="1">
        <f t="array" ref="AI12">SUMPRODUCT(ISNUMBER( SEARCH('13 Space Heating Costs'!$C$7:$AW$7,'12 Space Heating Subcomponents'!G46)) *'13 Space Heating Costs'!$C$15:$AW$15)</f>
        <v>6655.7812003878989</v>
      </c>
      <c r="AJ12" s="140" cm="1">
        <f t="array" ref="AJ12">SUMPRODUCT(ISNUMBER( SEARCH('13 Space Heating Costs'!$C$7:$AW$7,'12 Space Heating Subcomponents'!H46)) *'13 Space Heating Costs'!$C$15:$AW$15)</f>
        <v>8370.122797139351</v>
      </c>
      <c r="AK12" s="139"/>
      <c r="AL12" s="140" cm="1">
        <f t="array" ref="AL12">SUMPRODUCT(ISNUMBER( SEARCH('13 Space Heating Costs'!$C$7:$AW$7,'12 Space Heating Subcomponents'!J46)) *'13 Space Heating Costs'!$C$15:$AW$15)</f>
        <v>2881.5138043866564</v>
      </c>
      <c r="AM12" s="140" cm="1">
        <f t="array" ref="AM12">SUMPRODUCT(ISNUMBER( SEARCH('13 Space Heating Costs'!$C$7:$AW$7,'12 Space Heating Subcomponents'!K46)) *'13 Space Heating Costs'!$C$15:$AW$15)</f>
        <v>6725.1957988405275</v>
      </c>
      <c r="AN12" s="140" cm="1">
        <f t="array" ref="AN12">SUMPRODUCT(ISNUMBER( SEARCH('13 Space Heating Costs'!$C$7:$AW$7,'12 Space Heating Subcomponents'!L46)) *'13 Space Heating Costs'!$C$15:$AW$15)</f>
        <v>6679.316897946198</v>
      </c>
      <c r="AO12" s="140" cm="1">
        <f t="array" ref="AO12">SUMPRODUCT(ISNUMBER( SEARCH('13 Space Heating Costs'!$C$7:$AW$7,'12 Space Heating Subcomponents'!M46)) *'13 Space Heating Costs'!$C$15:$AW$15)</f>
        <v>8084.7151755691402</v>
      </c>
      <c r="AP12" s="140" cm="1">
        <f t="array" ref="AP12">SUMPRODUCT(ISNUMBER( SEARCH('13 Space Heating Costs'!$C$7:$AW$7,'12 Space Heating Subcomponents'!N46)) *'13 Space Heating Costs'!$C$15:$AW$15)</f>
        <v>7536.1053721478038</v>
      </c>
      <c r="AQ12" s="140" cm="1">
        <f t="array" ref="AQ12">SUMPRODUCT(ISNUMBER( SEARCH('13 Space Heating Costs'!$C$7:$AW$7,'12 Space Heating Subcomponents'!O46)) *'13 Space Heating Costs'!$C$15:$AW$15)</f>
        <v>8084.7151755691402</v>
      </c>
      <c r="AR12" s="140" cm="1">
        <f t="array" ref="AR12">SUMPRODUCT(ISNUMBER( SEARCH('13 Space Heating Costs'!$C$7:$AW$7,'12 Space Heating Subcomponents'!P46)) *'13 Space Heating Costs'!$C$15:$AW$15)</f>
        <v>8048.9704908790427</v>
      </c>
      <c r="AS12" s="402" cm="1">
        <f t="array" ref="AS12">SUMPRODUCT(ISNUMBER( SEARCH('13 Space Heating Costs'!$C$7:$AW$7,'12 Space Heating Subcomponents'!Q46)) *'13 Space Heating Costs'!$C$15:$AW$15)</f>
        <v>12589.861384626462</v>
      </c>
      <c r="AT12" s="72"/>
    </row>
    <row r="13" spans="1:46" ht="200.1" customHeight="1" x14ac:dyDescent="0.25">
      <c r="A13" s="60"/>
      <c r="B13" s="1105"/>
      <c r="C13" s="182" t="s">
        <v>244</v>
      </c>
      <c r="D13" s="182" t="s">
        <v>245</v>
      </c>
      <c r="E13" s="139"/>
      <c r="F13" s="139"/>
      <c r="G13" s="139"/>
      <c r="H13" s="139"/>
      <c r="I13" s="139"/>
      <c r="J13" s="139"/>
      <c r="K13" s="139"/>
      <c r="L13" s="139"/>
      <c r="M13" s="139"/>
      <c r="N13" s="139"/>
      <c r="O13" s="141"/>
      <c r="P13" s="72"/>
      <c r="Q13" s="1105"/>
      <c r="R13" s="182" t="s">
        <v>244</v>
      </c>
      <c r="S13" s="182" t="s">
        <v>245</v>
      </c>
      <c r="T13" s="139"/>
      <c r="U13" s="139"/>
      <c r="V13" s="139"/>
      <c r="W13" s="139"/>
      <c r="X13" s="139"/>
      <c r="Y13" s="139"/>
      <c r="Z13" s="139"/>
      <c r="AA13" s="139"/>
      <c r="AB13" s="139"/>
      <c r="AC13" s="139"/>
      <c r="AD13" s="141"/>
      <c r="AE13" s="72"/>
      <c r="AF13" s="1105"/>
      <c r="AG13" s="182" t="s">
        <v>244</v>
      </c>
      <c r="AH13" s="182" t="s">
        <v>245</v>
      </c>
      <c r="AI13" s="139"/>
      <c r="AJ13" s="139"/>
      <c r="AK13" s="139"/>
      <c r="AL13" s="139"/>
      <c r="AM13" s="139"/>
      <c r="AN13" s="139"/>
      <c r="AO13" s="139"/>
      <c r="AP13" s="139"/>
      <c r="AQ13" s="139"/>
      <c r="AR13" s="139"/>
      <c r="AS13" s="141"/>
      <c r="AT13" s="72"/>
    </row>
    <row r="14" spans="1:46" ht="200.1" customHeight="1" x14ac:dyDescent="0.25">
      <c r="A14" s="60"/>
      <c r="B14" s="1105"/>
      <c r="C14" s="182" t="s">
        <v>246</v>
      </c>
      <c r="D14" s="182" t="s">
        <v>243</v>
      </c>
      <c r="E14" s="140" cm="1">
        <f t="array" ref="E14">SUMPRODUCT(ISNUMBER( SEARCH('13 Space Heating Costs'!$C$7:$AW$7,'12 Space Heating Subcomponents'!G16)) *'13 Space Heating Costs'!$C$15:$AW$15)</f>
        <v>1899.5153661496754</v>
      </c>
      <c r="F14" s="140" cm="1">
        <f t="array" ref="F14">SUMPRODUCT(ISNUMBER( SEARCH('13 Space Heating Costs'!$C$7:$AW$7,'12 Space Heating Subcomponents'!H16)) *'13 Space Heating Costs'!$C$15:$AW$15)</f>
        <v>3109.189053063501</v>
      </c>
      <c r="G14" s="140" cm="1">
        <f t="array" ref="G14">SUMPRODUCT(ISNUMBER( SEARCH('13 Space Heating Costs'!$C$7:$AW$7,'12 Space Heating Subcomponents'!I16)) *'13 Space Heating Costs'!$C$15:$AW$15)</f>
        <v>5188.8453150672367</v>
      </c>
      <c r="H14" s="140" cm="1">
        <f t="array" ref="H14">SUMPRODUCT(ISNUMBER( SEARCH('13 Space Heating Costs'!$C$7:$AW$7,'12 Space Heating Subcomponents'!J16)) *'13 Space Heating Costs'!$C$15:$AW$15)</f>
        <v>6404.6361887669727</v>
      </c>
      <c r="I14" s="139"/>
      <c r="J14" s="140" cm="1">
        <f t="array" ref="J14">SUMPRODUCT(ISNUMBER( SEARCH('13 Space Heating Costs'!$C$7:$AW$7,'12 Space Heating Subcomponents'!L16)) *'13 Space Heating Costs'!$C$15:$AW$15)</f>
        <v>5005.3297114899187</v>
      </c>
      <c r="K14" s="140" cm="1">
        <f t="array" ref="K14">SUMPRODUCT(ISNUMBER( SEARCH('13 Space Heating Costs'!$C$7:$AW$7,'12 Space Heating Subcomponents'!M16)) *'13 Space Heating Costs'!$C$15:$AW$15)</f>
        <v>2260.4293865184018</v>
      </c>
      <c r="L14" s="140" cm="1">
        <f t="array" ref="L14">SUMPRODUCT(ISNUMBER( SEARCH('13 Space Heating Costs'!$C$7:$AW$7,'12 Space Heating Subcomponents'!N16)) *'13 Space Heating Costs'!$C$15:$AW$15)</f>
        <v>5862.1181856915246</v>
      </c>
      <c r="M14" s="140" cm="1">
        <f t="array" ref="M14">SUMPRODUCT(ISNUMBER( SEARCH('13 Space Heating Costs'!$C$7:$AW$7,'12 Space Heating Subcomponents'!O16)) *'13 Space Heating Costs'!$C$15:$AW$15)</f>
        <v>2260.4293865184018</v>
      </c>
      <c r="N14" s="140" cm="1">
        <f t="array" ref="N14">SUMPRODUCT(ISNUMBER( SEARCH('13 Space Heating Costs'!$C$7:$AW$7,'12 Space Heating Subcomponents'!P16)) *'13 Space Heating Costs'!$C$15:$AW$15)</f>
        <v>2788.0367468031932</v>
      </c>
      <c r="O14" s="402" cm="1">
        <f t="array" ref="O14">SUMPRODUCT(ISNUMBER( SEARCH('13 Space Heating Costs'!$C$7:$AW$7,'12 Space Heating Subcomponents'!Q16)) *'13 Space Heating Costs'!$C$15:$AW$15)</f>
        <v>6923.1811893632512</v>
      </c>
      <c r="P14" s="72"/>
      <c r="Q14" s="1105"/>
      <c r="R14" s="182" t="s">
        <v>246</v>
      </c>
      <c r="S14" s="182" t="s">
        <v>243</v>
      </c>
      <c r="T14" s="140" cm="1">
        <f t="array" ref="T14">SUMPRODUCT(ISNUMBER( SEARCH('13 Space Heating Costs'!$C$7:$AW$7,'12 Space Heating Subcomponents'!G32)) *'13 Space Heating Costs'!$C$15:$AW$15)</f>
        <v>1899.5153661496754</v>
      </c>
      <c r="U14" s="140" cm="1">
        <f t="array" ref="U14">SUMPRODUCT(ISNUMBER( SEARCH('13 Space Heating Costs'!$C$7:$AW$7,'12 Space Heating Subcomponents'!H32)) *'13 Space Heating Costs'!$C$15:$AW$15)</f>
        <v>3109.189053063501</v>
      </c>
      <c r="V14" s="140" cm="1">
        <f t="array" ref="V14">SUMPRODUCT(ISNUMBER( SEARCH('13 Space Heating Costs'!$C$7:$AW$7,'12 Space Heating Subcomponents'!I32)) *'13 Space Heating Costs'!$C$15:$AW$15)</f>
        <v>5188.8453150672367</v>
      </c>
      <c r="W14" s="140" cm="1">
        <f t="array" ref="W14">SUMPRODUCT(ISNUMBER( SEARCH('13 Space Heating Costs'!$C$7:$AW$7,'12 Space Heating Subcomponents'!J32)) *'13 Space Heating Costs'!$C$15:$AW$15)</f>
        <v>6404.6361887669727</v>
      </c>
      <c r="X14" s="139"/>
      <c r="Y14" s="140" cm="1">
        <f t="array" ref="Y14">SUMPRODUCT(ISNUMBER( SEARCH('13 Space Heating Costs'!$C$7:$AW$7,'12 Space Heating Subcomponents'!L32)) *'13 Space Heating Costs'!$C$15:$AW$15)</f>
        <v>5005.3297114899187</v>
      </c>
      <c r="Z14" s="140" cm="1">
        <f t="array" ref="Z14">SUMPRODUCT(ISNUMBER( SEARCH('13 Space Heating Costs'!$C$7:$AW$7,'12 Space Heating Subcomponents'!M32)) *'13 Space Heating Costs'!$C$15:$AW$15)</f>
        <v>2260.4293865184018</v>
      </c>
      <c r="AA14" s="140" cm="1">
        <f t="array" ref="AA14">SUMPRODUCT(ISNUMBER( SEARCH('13 Space Heating Costs'!$C$7:$AW$7,'12 Space Heating Subcomponents'!N32)) *'13 Space Heating Costs'!$C$15:$AW$15)</f>
        <v>5862.1181856915246</v>
      </c>
      <c r="AB14" s="140" cm="1">
        <f t="array" ref="AB14">SUMPRODUCT(ISNUMBER( SEARCH('13 Space Heating Costs'!$C$7:$AW$7,'12 Space Heating Subcomponents'!O32)) *'13 Space Heating Costs'!$C$15:$AW$15)</f>
        <v>2260.4293865184018</v>
      </c>
      <c r="AC14" s="140" cm="1">
        <f t="array" ref="AC14">SUMPRODUCT(ISNUMBER( SEARCH('13 Space Heating Costs'!$C$7:$AW$7,'12 Space Heating Subcomponents'!P32)) *'13 Space Heating Costs'!$C$15:$AW$15)</f>
        <v>2788.0367468031932</v>
      </c>
      <c r="AD14" s="402" cm="1">
        <f t="array" ref="AD14">SUMPRODUCT(ISNUMBER( SEARCH('13 Space Heating Costs'!$C$7:$AW$7,'12 Space Heating Subcomponents'!Q32)) *'13 Space Heating Costs'!$C$15:$AW$15)</f>
        <v>6923.1811893632512</v>
      </c>
      <c r="AE14" s="72"/>
      <c r="AF14" s="1105"/>
      <c r="AG14" s="182" t="s">
        <v>246</v>
      </c>
      <c r="AH14" s="182" t="s">
        <v>243</v>
      </c>
      <c r="AI14" s="140" cm="1">
        <f t="array" ref="AI14">SUMPRODUCT(ISNUMBER( SEARCH('13 Space Heating Costs'!$C$7:$AW$7,'12 Space Heating Subcomponents'!G48)) *'13 Space Heating Costs'!$C$15:$AW$15)</f>
        <v>1899.5153661496754</v>
      </c>
      <c r="AJ14" s="140" cm="1">
        <f t="array" ref="AJ14">SUMPRODUCT(ISNUMBER( SEARCH('13 Space Heating Costs'!$C$7:$AW$7,'12 Space Heating Subcomponents'!H48)) *'13 Space Heating Costs'!$C$15:$AW$15)</f>
        <v>3109.189053063501</v>
      </c>
      <c r="AK14" s="140" cm="1">
        <f t="array" ref="AK14">SUMPRODUCT(ISNUMBER( SEARCH('13 Space Heating Costs'!$C$7:$AW$7,'12 Space Heating Subcomponents'!I48)) *'13 Space Heating Costs'!$C$15:$AW$15)</f>
        <v>5188.8453150672367</v>
      </c>
      <c r="AL14" s="140" cm="1">
        <f t="array" ref="AL14">SUMPRODUCT(ISNUMBER( SEARCH('13 Space Heating Costs'!$C$7:$AW$7,'12 Space Heating Subcomponents'!J48)) *'13 Space Heating Costs'!$C$15:$AW$15)</f>
        <v>6404.6361887669727</v>
      </c>
      <c r="AM14" s="139"/>
      <c r="AN14" s="140" cm="1">
        <f t="array" ref="AN14">SUMPRODUCT(ISNUMBER( SEARCH('13 Space Heating Costs'!$C$7:$AW$7,'12 Space Heating Subcomponents'!L48)) *'13 Space Heating Costs'!$C$15:$AW$15)</f>
        <v>5005.3297114899187</v>
      </c>
      <c r="AO14" s="140" cm="1">
        <f t="array" ref="AO14">SUMPRODUCT(ISNUMBER( SEARCH('13 Space Heating Costs'!$C$7:$AW$7,'12 Space Heating Subcomponents'!M48)) *'13 Space Heating Costs'!$C$15:$AW$15)</f>
        <v>2260.4293865184018</v>
      </c>
      <c r="AP14" s="140" cm="1">
        <f t="array" ref="AP14">SUMPRODUCT(ISNUMBER( SEARCH('13 Space Heating Costs'!$C$7:$AW$7,'12 Space Heating Subcomponents'!N48)) *'13 Space Heating Costs'!$C$15:$AW$15)</f>
        <v>5862.1181856915246</v>
      </c>
      <c r="AQ14" s="140" cm="1">
        <f t="array" ref="AQ14">SUMPRODUCT(ISNUMBER( SEARCH('13 Space Heating Costs'!$C$7:$AW$7,'12 Space Heating Subcomponents'!O48)) *'13 Space Heating Costs'!$C$15:$AW$15)</f>
        <v>2260.4293865184018</v>
      </c>
      <c r="AR14" s="140" cm="1">
        <f t="array" ref="AR14">SUMPRODUCT(ISNUMBER( SEARCH('13 Space Heating Costs'!$C$7:$AW$7,'12 Space Heating Subcomponents'!P48)) *'13 Space Heating Costs'!$C$15:$AW$15)</f>
        <v>2788.0367468031932</v>
      </c>
      <c r="AS14" s="402" cm="1">
        <f t="array" ref="AS14">SUMPRODUCT(ISNUMBER( SEARCH('13 Space Heating Costs'!$C$7:$AW$7,'12 Space Heating Subcomponents'!Q48)) *'13 Space Heating Costs'!$C$15:$AW$15)</f>
        <v>6923.1811893632512</v>
      </c>
      <c r="AT14" s="72"/>
    </row>
    <row r="15" spans="1:46" ht="200.1" customHeight="1" x14ac:dyDescent="0.25">
      <c r="A15" s="60"/>
      <c r="B15" s="1105"/>
      <c r="C15" s="182" t="s">
        <v>246</v>
      </c>
      <c r="D15" s="182" t="s">
        <v>247</v>
      </c>
      <c r="E15" s="140" cm="1">
        <f t="array" ref="E15">SUMPRODUCT(ISNUMBER( SEARCH('13 Space Heating Costs'!$C$7:$AW$7,'12 Space Heating Subcomponents'!G17)) *'13 Space Heating Costs'!$C$15:$AW$15)</f>
        <v>2229.3668330406617</v>
      </c>
      <c r="F15" s="140" cm="1">
        <f t="array" ref="F15">SUMPRODUCT(ISNUMBER( SEARCH('13 Space Heating Costs'!$C$7:$AW$7,'12 Space Heating Subcomponents'!H17)) *'13 Space Heating Costs'!$C$15:$AW$15)</f>
        <v>3439.0405199544875</v>
      </c>
      <c r="G15" s="140" cm="1">
        <f t="array" ref="G15">SUMPRODUCT(ISNUMBER( SEARCH('13 Space Heating Costs'!$C$7:$AW$7,'12 Space Heating Subcomponents'!I17)) *'13 Space Heating Costs'!$C$15:$AW$15)</f>
        <v>1368.3981793637647</v>
      </c>
      <c r="H15" s="140" cm="1">
        <f t="array" ref="H15">SUMPRODUCT(ISNUMBER( SEARCH('13 Space Heating Costs'!$C$7:$AW$7,'12 Space Heating Subcomponents'!J17)) *'13 Space Heating Costs'!$C$15:$AW$15)</f>
        <v>2584.189053063501</v>
      </c>
      <c r="I15" s="140" cm="1">
        <f t="array" ref="I15">SUMPRODUCT(ISNUMBER( SEARCH('13 Space Heating Costs'!$C$7:$AW$7,'12 Space Heating Subcomponents'!K17)) *'13 Space Heating Costs'!$C$15:$AW$15)</f>
        <v>2085.6129435717621</v>
      </c>
      <c r="J15" s="139"/>
      <c r="K15" s="140" cm="1">
        <f t="array" ref="K15">SUMPRODUCT(ISNUMBER( SEARCH('13 Space Heating Costs'!$C$7:$AW$7,'12 Space Heating Subcomponents'!M17)) *'13 Space Heating Costs'!$C$15:$AW$15)</f>
        <v>2590.2808534093883</v>
      </c>
      <c r="L15" s="140" cm="1">
        <f t="array" ref="L15">SUMPRODUCT(ISNUMBER( SEARCH('13 Space Heating Costs'!$C$7:$AW$7,'12 Space Heating Subcomponents'!N17)) *'13 Space Heating Costs'!$C$15:$AW$15)</f>
        <v>2041.6710499880523</v>
      </c>
      <c r="M15" s="140" cm="1">
        <f t="array" ref="M15">SUMPRODUCT(ISNUMBER( SEARCH('13 Space Heating Costs'!$C$7:$AW$7,'12 Space Heating Subcomponents'!O17)) *'13 Space Heating Costs'!$C$15:$AW$15)</f>
        <v>2590.2808534093883</v>
      </c>
      <c r="N15" s="140" cm="1">
        <f t="array" ref="N15">SUMPRODUCT(ISNUMBER( SEARCH('13 Space Heating Costs'!$C$7:$AW$7,'12 Space Heating Subcomponents'!P17)) *'13 Space Heating Costs'!$C$15:$AW$15)</f>
        <v>3117.8882136941797</v>
      </c>
      <c r="O15" s="402" cm="1">
        <f t="array" ref="O15">SUMPRODUCT(ISNUMBER( SEARCH('13 Space Heating Costs'!$C$7:$AW$7,'12 Space Heating Subcomponents'!Q17)) *'13 Space Heating Costs'!$C$15:$AW$15)</f>
        <v>3799.9799267632366</v>
      </c>
      <c r="P15" s="72"/>
      <c r="Q15" s="1105"/>
      <c r="R15" s="182" t="s">
        <v>246</v>
      </c>
      <c r="S15" s="182" t="s">
        <v>247</v>
      </c>
      <c r="T15" s="140" cm="1">
        <f t="array" ref="T15">SUMPRODUCT(ISNUMBER( SEARCH('13 Space Heating Costs'!$C$7:$AW$7,'12 Space Heating Subcomponents'!G33)) *'13 Space Heating Costs'!$C$15:$AW$15)</f>
        <v>2229.3668330406617</v>
      </c>
      <c r="U15" s="140" cm="1">
        <f t="array" ref="U15">SUMPRODUCT(ISNUMBER( SEARCH('13 Space Heating Costs'!$C$7:$AW$7,'12 Space Heating Subcomponents'!H33)) *'13 Space Heating Costs'!$C$15:$AW$15)</f>
        <v>3439.0405199544875</v>
      </c>
      <c r="V15" s="140" cm="1">
        <f t="array" ref="V15">SUMPRODUCT(ISNUMBER( SEARCH('13 Space Heating Costs'!$C$7:$AW$7,'12 Space Heating Subcomponents'!I33)) *'13 Space Heating Costs'!$C$15:$AW$15)</f>
        <v>1368.3981793637647</v>
      </c>
      <c r="W15" s="140" cm="1">
        <f t="array" ref="W15">SUMPRODUCT(ISNUMBER( SEARCH('13 Space Heating Costs'!$C$7:$AW$7,'12 Space Heating Subcomponents'!J33)) *'13 Space Heating Costs'!$C$15:$AW$15)</f>
        <v>2584.189053063501</v>
      </c>
      <c r="X15" s="140" cm="1">
        <f t="array" ref="X15">SUMPRODUCT(ISNUMBER( SEARCH('13 Space Heating Costs'!$C$7:$AW$7,'12 Space Heating Subcomponents'!K33)) *'13 Space Heating Costs'!$C$15:$AW$15)</f>
        <v>2085.6129435717621</v>
      </c>
      <c r="Y15" s="139"/>
      <c r="Z15" s="140" cm="1">
        <f t="array" ref="Z15">SUMPRODUCT(ISNUMBER( SEARCH('13 Space Heating Costs'!$C$7:$AW$7,'12 Space Heating Subcomponents'!M33)) *'13 Space Heating Costs'!$C$15:$AW$15)</f>
        <v>2590.2808534093883</v>
      </c>
      <c r="AA15" s="140" cm="1">
        <f t="array" ref="AA15">SUMPRODUCT(ISNUMBER( SEARCH('13 Space Heating Costs'!$C$7:$AW$7,'12 Space Heating Subcomponents'!N33)) *'13 Space Heating Costs'!$C$15:$AW$15)</f>
        <v>2041.6710499880523</v>
      </c>
      <c r="AB15" s="140" cm="1">
        <f t="array" ref="AB15">SUMPRODUCT(ISNUMBER( SEARCH('13 Space Heating Costs'!$C$7:$AW$7,'12 Space Heating Subcomponents'!O33)) *'13 Space Heating Costs'!$C$15:$AW$15)</f>
        <v>2590.2808534093883</v>
      </c>
      <c r="AC15" s="140" cm="1">
        <f t="array" ref="AC15">SUMPRODUCT(ISNUMBER( SEARCH('13 Space Heating Costs'!$C$7:$AW$7,'12 Space Heating Subcomponents'!P33)) *'13 Space Heating Costs'!$C$15:$AW$15)</f>
        <v>3117.8882136941797</v>
      </c>
      <c r="AD15" s="402" cm="1">
        <f t="array" ref="AD15">SUMPRODUCT(ISNUMBER( SEARCH('13 Space Heating Costs'!$C$7:$AW$7,'12 Space Heating Subcomponents'!Q33)) *'13 Space Heating Costs'!$C$15:$AW$15)</f>
        <v>3799.9799267632366</v>
      </c>
      <c r="AE15" s="72"/>
      <c r="AF15" s="1105"/>
      <c r="AG15" s="182" t="s">
        <v>246</v>
      </c>
      <c r="AH15" s="182" t="s">
        <v>247</v>
      </c>
      <c r="AI15" s="140" cm="1">
        <f t="array" ref="AI15">SUMPRODUCT(ISNUMBER( SEARCH('13 Space Heating Costs'!$C$7:$AW$7,'12 Space Heating Subcomponents'!G49)) *'13 Space Heating Costs'!$C$15:$AW$15)</f>
        <v>2229.3668330406617</v>
      </c>
      <c r="AJ15" s="140" cm="1">
        <f t="array" ref="AJ15">SUMPRODUCT(ISNUMBER( SEARCH('13 Space Heating Costs'!$C$7:$AW$7,'12 Space Heating Subcomponents'!H49)) *'13 Space Heating Costs'!$C$15:$AW$15)</f>
        <v>3439.0405199544875</v>
      </c>
      <c r="AK15" s="140" cm="1">
        <f t="array" ref="AK15">SUMPRODUCT(ISNUMBER( SEARCH('13 Space Heating Costs'!$C$7:$AW$7,'12 Space Heating Subcomponents'!I49)) *'13 Space Heating Costs'!$C$15:$AW$15)</f>
        <v>1368.3981793637647</v>
      </c>
      <c r="AL15" s="140" cm="1">
        <f t="array" ref="AL15">SUMPRODUCT(ISNUMBER( SEARCH('13 Space Heating Costs'!$C$7:$AW$7,'12 Space Heating Subcomponents'!J49)) *'13 Space Heating Costs'!$C$15:$AW$15)</f>
        <v>2584.189053063501</v>
      </c>
      <c r="AM15" s="140" cm="1">
        <f t="array" ref="AM15">SUMPRODUCT(ISNUMBER( SEARCH('13 Space Heating Costs'!$C$7:$AW$7,'12 Space Heating Subcomponents'!K49)) *'13 Space Heating Costs'!$C$15:$AW$15)</f>
        <v>2085.6129435717621</v>
      </c>
      <c r="AN15" s="139"/>
      <c r="AO15" s="140" cm="1">
        <f t="array" ref="AO15">SUMPRODUCT(ISNUMBER( SEARCH('13 Space Heating Costs'!$C$7:$AW$7,'12 Space Heating Subcomponents'!M49)) *'13 Space Heating Costs'!$C$15:$AW$15)</f>
        <v>2590.2808534093883</v>
      </c>
      <c r="AP15" s="140" cm="1">
        <f t="array" ref="AP15">SUMPRODUCT(ISNUMBER( SEARCH('13 Space Heating Costs'!$C$7:$AW$7,'12 Space Heating Subcomponents'!N49)) *'13 Space Heating Costs'!$C$15:$AW$15)</f>
        <v>2041.6710499880523</v>
      </c>
      <c r="AQ15" s="140" cm="1">
        <f t="array" ref="AQ15">SUMPRODUCT(ISNUMBER( SEARCH('13 Space Heating Costs'!$C$7:$AW$7,'12 Space Heating Subcomponents'!O49)) *'13 Space Heating Costs'!$C$15:$AW$15)</f>
        <v>2590.2808534093883</v>
      </c>
      <c r="AR15" s="140" cm="1">
        <f t="array" ref="AR15">SUMPRODUCT(ISNUMBER( SEARCH('13 Space Heating Costs'!$C$7:$AW$7,'12 Space Heating Subcomponents'!P49)) *'13 Space Heating Costs'!$C$15:$AW$15)</f>
        <v>3117.8882136941797</v>
      </c>
      <c r="AS15" s="402" cm="1">
        <f t="array" ref="AS15">SUMPRODUCT(ISNUMBER( SEARCH('13 Space Heating Costs'!$C$7:$AW$7,'12 Space Heating Subcomponents'!Q49)) *'13 Space Heating Costs'!$C$15:$AW$15)</f>
        <v>3799.9799267632366</v>
      </c>
      <c r="AT15" s="72"/>
    </row>
    <row r="16" spans="1:46" ht="200.1" customHeight="1" x14ac:dyDescent="0.25">
      <c r="A16" s="60"/>
      <c r="B16" s="1105"/>
      <c r="C16" s="182" t="s">
        <v>246</v>
      </c>
      <c r="D16" s="182" t="s">
        <v>248</v>
      </c>
      <c r="E16" s="140" cm="1">
        <f t="array" ref="E16">SUMPRODUCT(ISNUMBER( SEARCH('13 Space Heating Costs'!$C$7:$AW$7,'12 Space Heating Subcomponents'!G18)) *'13 Space Heating Costs'!$C$15:$AW$15)</f>
        <v>1199.5153661496754</v>
      </c>
      <c r="F16" s="140" cm="1">
        <f t="array" ref="F16">SUMPRODUCT(ISNUMBER( SEARCH('13 Space Heating Costs'!$C$7:$AW$7,'12 Space Heating Subcomponents'!H18)) *'13 Space Heating Costs'!$C$15:$AW$15)</f>
        <v>2409.189053063501</v>
      </c>
      <c r="G16" s="140" cm="1">
        <f t="array" ref="G16">SUMPRODUCT(ISNUMBER( SEARCH('13 Space Heating Costs'!$C$7:$AW$7,'12 Space Heating Subcomponents'!I18)) *'13 Space Heating Costs'!$C$15:$AW$15)</f>
        <v>4488.8453150672367</v>
      </c>
      <c r="H16" s="140" cm="1">
        <f t="array" ref="H16">SUMPRODUCT(ISNUMBER( SEARCH('13 Space Heating Costs'!$C$7:$AW$7,'12 Space Heating Subcomponents'!J18)) *'13 Space Heating Costs'!$C$15:$AW$15)</f>
        <v>5704.6361887669727</v>
      </c>
      <c r="I16" s="140" cm="1">
        <f t="array" ref="I16">SUMPRODUCT(ISNUMBER( SEARCH('13 Space Heating Costs'!$C$7:$AW$7,'12 Space Heating Subcomponents'!K18)) *'13 Space Heating Costs'!$C$15:$AW$15)</f>
        <v>1055.7614766807758</v>
      </c>
      <c r="J16" s="140" cm="1">
        <f t="array" ref="J16">SUMPRODUCT(ISNUMBER( SEARCH('13 Space Heating Costs'!$C$7:$AW$7,'12 Space Heating Subcomponents'!L18)) *'13 Space Heating Costs'!$C$15:$AW$15)</f>
        <v>4305.3297114899187</v>
      </c>
      <c r="K16" s="139"/>
      <c r="L16" s="140" cm="1">
        <f t="array" ref="L16">SUMPRODUCT(ISNUMBER( SEARCH('13 Space Heating Costs'!$C$7:$AW$7,'12 Space Heating Subcomponents'!N18)) *'13 Space Heating Costs'!$C$15:$AW$15)</f>
        <v>4464.8723125880679</v>
      </c>
      <c r="M16" s="140" cm="1">
        <f t="array" ref="M16">SUMPRODUCT(ISNUMBER( SEARCH('13 Space Heating Costs'!$C$7:$AW$7,'12 Space Heating Subcomponents'!O18)) *'13 Space Heating Costs'!$C$15:$AW$15)</f>
        <v>863.18351341494485</v>
      </c>
      <c r="N16" s="140" cm="1">
        <f t="array" ref="N16">SUMPRODUCT(ISNUMBER( SEARCH('13 Space Heating Costs'!$C$7:$AW$7,'12 Space Heating Subcomponents'!P18)) *'13 Space Heating Costs'!$C$15:$AW$15)</f>
        <v>2088.0367468031932</v>
      </c>
      <c r="O16" s="402" cm="1">
        <f t="array" ref="O16">SUMPRODUCT(ISNUMBER( SEARCH('13 Space Heating Costs'!$C$7:$AW$7,'12 Space Heating Subcomponents'!Q18)) *'13 Space Heating Costs'!$C$15:$AW$15)</f>
        <v>6223.1811893632512</v>
      </c>
      <c r="P16" s="72"/>
      <c r="Q16" s="1105"/>
      <c r="R16" s="182" t="s">
        <v>246</v>
      </c>
      <c r="S16" s="182" t="s">
        <v>248</v>
      </c>
      <c r="T16" s="140" cm="1">
        <f t="array" ref="T16">SUMPRODUCT(ISNUMBER( SEARCH('13 Space Heating Costs'!$C$7:$AW$7,'12 Space Heating Subcomponents'!G34)) *'13 Space Heating Costs'!$C$15:$AW$15)</f>
        <v>1199.5153661496754</v>
      </c>
      <c r="U16" s="140" cm="1">
        <f t="array" ref="U16">SUMPRODUCT(ISNUMBER( SEARCH('13 Space Heating Costs'!$C$7:$AW$7,'12 Space Heating Subcomponents'!H34)) *'13 Space Heating Costs'!$C$15:$AW$15)</f>
        <v>2409.189053063501</v>
      </c>
      <c r="V16" s="140" cm="1">
        <f t="array" ref="V16">SUMPRODUCT(ISNUMBER( SEARCH('13 Space Heating Costs'!$C$7:$AW$7,'12 Space Heating Subcomponents'!I34)) *'13 Space Heating Costs'!$C$15:$AW$15)</f>
        <v>4488.8453150672367</v>
      </c>
      <c r="W16" s="140" cm="1">
        <f t="array" ref="W16">SUMPRODUCT(ISNUMBER( SEARCH('13 Space Heating Costs'!$C$7:$AW$7,'12 Space Heating Subcomponents'!J34)) *'13 Space Heating Costs'!$C$15:$AW$15)</f>
        <v>5704.6361887669727</v>
      </c>
      <c r="X16" s="140" cm="1">
        <f t="array" ref="X16">SUMPRODUCT(ISNUMBER( SEARCH('13 Space Heating Costs'!$C$7:$AW$7,'12 Space Heating Subcomponents'!K34)) *'13 Space Heating Costs'!$C$15:$AW$15)</f>
        <v>1055.7614766807758</v>
      </c>
      <c r="Y16" s="140" cm="1">
        <f t="array" ref="Y16">SUMPRODUCT(ISNUMBER( SEARCH('13 Space Heating Costs'!$C$7:$AW$7,'12 Space Heating Subcomponents'!L34)) *'13 Space Heating Costs'!$C$15:$AW$15)</f>
        <v>4305.3297114899187</v>
      </c>
      <c r="Z16" s="139"/>
      <c r="AA16" s="140" cm="1">
        <f t="array" ref="AA16">SUMPRODUCT(ISNUMBER( SEARCH('13 Space Heating Costs'!$C$7:$AW$7,'12 Space Heating Subcomponents'!N34)) *'13 Space Heating Costs'!$C$15:$AW$15)</f>
        <v>4464.8723125880679</v>
      </c>
      <c r="AB16" s="140" cm="1">
        <f t="array" ref="AB16">SUMPRODUCT(ISNUMBER( SEARCH('13 Space Heating Costs'!$C$7:$AW$7,'12 Space Heating Subcomponents'!O34)) *'13 Space Heating Costs'!$C$15:$AW$15)</f>
        <v>863.18351341494485</v>
      </c>
      <c r="AC16" s="140" cm="1">
        <f t="array" ref="AC16">SUMPRODUCT(ISNUMBER( SEARCH('13 Space Heating Costs'!$C$7:$AW$7,'12 Space Heating Subcomponents'!P34)) *'13 Space Heating Costs'!$C$15:$AW$15)</f>
        <v>2088.0367468031932</v>
      </c>
      <c r="AD16" s="402" cm="1">
        <f t="array" ref="AD16">SUMPRODUCT(ISNUMBER( SEARCH('13 Space Heating Costs'!$C$7:$AW$7,'12 Space Heating Subcomponents'!Q34)) *'13 Space Heating Costs'!$C$15:$AW$15)</f>
        <v>6223.1811893632512</v>
      </c>
      <c r="AE16" s="72"/>
      <c r="AF16" s="1105"/>
      <c r="AG16" s="182" t="s">
        <v>246</v>
      </c>
      <c r="AH16" s="182" t="s">
        <v>248</v>
      </c>
      <c r="AI16" s="140" cm="1">
        <f t="array" ref="AI16">SUMPRODUCT(ISNUMBER( SEARCH('13 Space Heating Costs'!$C$7:$AW$7,'12 Space Heating Subcomponents'!G50)) *'13 Space Heating Costs'!$C$15:$AW$15)</f>
        <v>1199.5153661496754</v>
      </c>
      <c r="AJ16" s="140" cm="1">
        <f t="array" ref="AJ16">SUMPRODUCT(ISNUMBER( SEARCH('13 Space Heating Costs'!$C$7:$AW$7,'12 Space Heating Subcomponents'!H50)) *'13 Space Heating Costs'!$C$15:$AW$15)</f>
        <v>2409.189053063501</v>
      </c>
      <c r="AK16" s="140" cm="1">
        <f t="array" ref="AK16">SUMPRODUCT(ISNUMBER( SEARCH('13 Space Heating Costs'!$C$7:$AW$7,'12 Space Heating Subcomponents'!I50)) *'13 Space Heating Costs'!$C$15:$AW$15)</f>
        <v>4488.8453150672367</v>
      </c>
      <c r="AL16" s="140" cm="1">
        <f t="array" ref="AL16">SUMPRODUCT(ISNUMBER( SEARCH('13 Space Heating Costs'!$C$7:$AW$7,'12 Space Heating Subcomponents'!J50)) *'13 Space Heating Costs'!$C$15:$AW$15)</f>
        <v>5704.6361887669727</v>
      </c>
      <c r="AM16" s="140" cm="1">
        <f t="array" ref="AM16">SUMPRODUCT(ISNUMBER( SEARCH('13 Space Heating Costs'!$C$7:$AW$7,'12 Space Heating Subcomponents'!K50)) *'13 Space Heating Costs'!$C$15:$AW$15)</f>
        <v>1055.7614766807758</v>
      </c>
      <c r="AN16" s="140" cm="1">
        <f t="array" ref="AN16">SUMPRODUCT(ISNUMBER( SEARCH('13 Space Heating Costs'!$C$7:$AW$7,'12 Space Heating Subcomponents'!L50)) *'13 Space Heating Costs'!$C$15:$AW$15)</f>
        <v>4305.3297114899187</v>
      </c>
      <c r="AO16" s="139"/>
      <c r="AP16" s="140" cm="1">
        <f t="array" ref="AP16">SUMPRODUCT(ISNUMBER( SEARCH('13 Space Heating Costs'!$C$7:$AW$7,'12 Space Heating Subcomponents'!N50)) *'13 Space Heating Costs'!$C$15:$AW$15)</f>
        <v>4464.8723125880679</v>
      </c>
      <c r="AQ16" s="140" cm="1">
        <f t="array" ref="AQ16">SUMPRODUCT(ISNUMBER( SEARCH('13 Space Heating Costs'!$C$7:$AW$7,'12 Space Heating Subcomponents'!O50)) *'13 Space Heating Costs'!$C$15:$AW$15)</f>
        <v>863.18351341494485</v>
      </c>
      <c r="AR16" s="140" cm="1">
        <f t="array" ref="AR16">SUMPRODUCT(ISNUMBER( SEARCH('13 Space Heating Costs'!$C$7:$AW$7,'12 Space Heating Subcomponents'!P50)) *'13 Space Heating Costs'!$C$15:$AW$15)</f>
        <v>2088.0367468031932</v>
      </c>
      <c r="AS16" s="402" cm="1">
        <f t="array" ref="AS16">SUMPRODUCT(ISNUMBER( SEARCH('13 Space Heating Costs'!$C$7:$AW$7,'12 Space Heating Subcomponents'!Q50)) *'13 Space Heating Costs'!$C$15:$AW$15)</f>
        <v>6223.1811893632512</v>
      </c>
      <c r="AT16" s="72"/>
    </row>
    <row r="17" spans="1:46" ht="200.1" customHeight="1" x14ac:dyDescent="0.25">
      <c r="A17" s="60"/>
      <c r="B17" s="1105"/>
      <c r="C17" s="182" t="s">
        <v>246</v>
      </c>
      <c r="D17" s="182" t="s">
        <v>249</v>
      </c>
      <c r="E17" s="140" cm="1">
        <f t="array" ref="E17">SUMPRODUCT(ISNUMBER( SEARCH('13 Space Heating Costs'!$C$7:$AW$7,'12 Space Heating Subcomponents'!G19)) *'13 Space Heating Costs'!$C$15:$AW$15)</f>
        <v>3837.4457341387433</v>
      </c>
      <c r="F17" s="140" cm="1">
        <f t="array" ref="F17">SUMPRODUCT(ISNUMBER( SEARCH('13 Space Heating Costs'!$C$7:$AW$7,'12 Space Heating Subcomponents'!H19)) *'13 Space Heating Costs'!$C$15:$AW$15)</f>
        <v>5047.1194210525682</v>
      </c>
      <c r="G17" s="140" cm="1">
        <f t="array" ref="G17">SUMPRODUCT(ISNUMBER( SEARCH('13 Space Heating Costs'!$C$7:$AW$7,'12 Space Heating Subcomponents'!I19)) *'13 Space Heating Costs'!$C$15:$AW$15)</f>
        <v>2976.4770804618461</v>
      </c>
      <c r="H17" s="140" cm="1">
        <f t="array" ref="H17">SUMPRODUCT(ISNUMBER( SEARCH('13 Space Heating Costs'!$C$7:$AW$7,'12 Space Heating Subcomponents'!J19)) *'13 Space Heating Costs'!$C$15:$AW$15)</f>
        <v>4192.2679541615817</v>
      </c>
      <c r="I17" s="140" cm="1">
        <f t="array" ref="I17">SUMPRODUCT(ISNUMBER( SEARCH('13 Space Heating Costs'!$C$7:$AW$7,'12 Space Heating Subcomponents'!K19)) *'13 Space Heating Costs'!$C$15:$AW$15)</f>
        <v>3693.6918446698437</v>
      </c>
      <c r="J17" s="140" cm="1">
        <f t="array" ref="J17">SUMPRODUCT(ISNUMBER( SEARCH('13 Space Heating Costs'!$C$7:$AW$7,'12 Space Heating Subcomponents'!L19)) *'13 Space Heating Costs'!$C$15:$AW$15)</f>
        <v>3647.8129437755138</v>
      </c>
      <c r="K17" s="140" cm="1">
        <f t="array" ref="K17">SUMPRODUCT(ISNUMBER( SEARCH('13 Space Heating Costs'!$C$7:$AW$7,'12 Space Heating Subcomponents'!M19)) *'13 Space Heating Costs'!$C$15:$AW$15)</f>
        <v>3501.1138814040123</v>
      </c>
      <c r="L17" s="139"/>
      <c r="M17" s="140" cm="1">
        <f t="array" ref="M17">SUMPRODUCT(ISNUMBER( SEARCH('13 Space Heating Costs'!$C$7:$AW$7,'12 Space Heating Subcomponents'!O19)) *'13 Space Heating Costs'!$C$15:$AW$15)</f>
        <v>3501.1138814040123</v>
      </c>
      <c r="N17" s="140" cm="1">
        <f t="array" ref="N17">SUMPRODUCT(ISNUMBER( SEARCH('13 Space Heating Costs'!$C$7:$AW$7,'12 Space Heating Subcomponents'!P19)) *'13 Space Heating Costs'!$C$15:$AW$15)</f>
        <v>4725.9671147922609</v>
      </c>
      <c r="O17" s="402" cm="1">
        <f t="array" ref="O17">SUMPRODUCT(ISNUMBER( SEARCH('13 Space Heating Costs'!$C$7:$AW$7,'12 Space Heating Subcomponents'!Q19)) *'13 Space Heating Costs'!$C$15:$AW$15)</f>
        <v>5408.0588278613177</v>
      </c>
      <c r="P17" s="72"/>
      <c r="Q17" s="1105"/>
      <c r="R17" s="182" t="s">
        <v>246</v>
      </c>
      <c r="S17" s="182" t="s">
        <v>249</v>
      </c>
      <c r="T17" s="140" cm="1">
        <f t="array" ref="T17">SUMPRODUCT(ISNUMBER( SEARCH('13 Space Heating Costs'!$C$7:$AW$7,'12 Space Heating Subcomponents'!G35)) *'13 Space Heating Costs'!$C$15:$AW$15)</f>
        <v>3837.4457341387433</v>
      </c>
      <c r="U17" s="140" cm="1">
        <f t="array" ref="U17">SUMPRODUCT(ISNUMBER( SEARCH('13 Space Heating Costs'!$C$7:$AW$7,'12 Space Heating Subcomponents'!H35)) *'13 Space Heating Costs'!$C$15:$AW$15)</f>
        <v>5047.1194210525682</v>
      </c>
      <c r="V17" s="140" cm="1">
        <f t="array" ref="V17">SUMPRODUCT(ISNUMBER( SEARCH('13 Space Heating Costs'!$C$7:$AW$7,'12 Space Heating Subcomponents'!I35)) *'13 Space Heating Costs'!$C$15:$AW$15)</f>
        <v>2976.4770804618461</v>
      </c>
      <c r="W17" s="140" cm="1">
        <f t="array" ref="W17">SUMPRODUCT(ISNUMBER( SEARCH('13 Space Heating Costs'!$C$7:$AW$7,'12 Space Heating Subcomponents'!J35)) *'13 Space Heating Costs'!$C$15:$AW$15)</f>
        <v>4192.2679541615817</v>
      </c>
      <c r="X17" s="140" cm="1">
        <f t="array" ref="X17">SUMPRODUCT(ISNUMBER( SEARCH('13 Space Heating Costs'!$C$7:$AW$7,'12 Space Heating Subcomponents'!K35)) *'13 Space Heating Costs'!$C$15:$AW$15)</f>
        <v>3693.6918446698437</v>
      </c>
      <c r="Y17" s="140" cm="1">
        <f t="array" ref="Y17">SUMPRODUCT(ISNUMBER( SEARCH('13 Space Heating Costs'!$C$7:$AW$7,'12 Space Heating Subcomponents'!L35)) *'13 Space Heating Costs'!$C$15:$AW$15)</f>
        <v>3647.8129437755138</v>
      </c>
      <c r="Z17" s="140" cm="1">
        <f t="array" ref="Z17">SUMPRODUCT(ISNUMBER( SEARCH('13 Space Heating Costs'!$C$7:$AW$7,'12 Space Heating Subcomponents'!M35)) *'13 Space Heating Costs'!$C$15:$AW$15)</f>
        <v>3501.1138814040123</v>
      </c>
      <c r="AA17" s="139"/>
      <c r="AB17" s="140" cm="1">
        <f t="array" ref="AB17">SUMPRODUCT(ISNUMBER( SEARCH('13 Space Heating Costs'!$C$7:$AW$7,'12 Space Heating Subcomponents'!O35)) *'13 Space Heating Costs'!$C$15:$AW$15)</f>
        <v>3501.1138814040123</v>
      </c>
      <c r="AC17" s="140" cm="1">
        <f t="array" ref="AC17">SUMPRODUCT(ISNUMBER( SEARCH('13 Space Heating Costs'!$C$7:$AW$7,'12 Space Heating Subcomponents'!P35)) *'13 Space Heating Costs'!$C$15:$AW$15)</f>
        <v>4725.9671147922609</v>
      </c>
      <c r="AD17" s="402" cm="1">
        <f t="array" ref="AD17">SUMPRODUCT(ISNUMBER( SEARCH('13 Space Heating Costs'!$C$7:$AW$7,'12 Space Heating Subcomponents'!Q35)) *'13 Space Heating Costs'!$C$15:$AW$15)</f>
        <v>5408.0588278613177</v>
      </c>
      <c r="AE17" s="72"/>
      <c r="AF17" s="1105"/>
      <c r="AG17" s="182" t="s">
        <v>246</v>
      </c>
      <c r="AH17" s="182" t="s">
        <v>249</v>
      </c>
      <c r="AI17" s="140" cm="1">
        <f t="array" ref="AI17">SUMPRODUCT(ISNUMBER( SEARCH('13 Space Heating Costs'!$C$7:$AW$7,'12 Space Heating Subcomponents'!G51)) *'13 Space Heating Costs'!$C$15:$AW$15)</f>
        <v>3837.4457341387433</v>
      </c>
      <c r="AJ17" s="140" cm="1">
        <f t="array" ref="AJ17">SUMPRODUCT(ISNUMBER( SEARCH('13 Space Heating Costs'!$C$7:$AW$7,'12 Space Heating Subcomponents'!H51)) *'13 Space Heating Costs'!$C$15:$AW$15)</f>
        <v>5047.1194210525682</v>
      </c>
      <c r="AK17" s="140" cm="1">
        <f t="array" ref="AK17">SUMPRODUCT(ISNUMBER( SEARCH('13 Space Heating Costs'!$C$7:$AW$7,'12 Space Heating Subcomponents'!I51)) *'13 Space Heating Costs'!$C$15:$AW$15)</f>
        <v>2976.4770804618461</v>
      </c>
      <c r="AL17" s="140" cm="1">
        <f t="array" ref="AL17">SUMPRODUCT(ISNUMBER( SEARCH('13 Space Heating Costs'!$C$7:$AW$7,'12 Space Heating Subcomponents'!J51)) *'13 Space Heating Costs'!$C$15:$AW$15)</f>
        <v>4192.2679541615817</v>
      </c>
      <c r="AM17" s="140" cm="1">
        <f t="array" ref="AM17">SUMPRODUCT(ISNUMBER( SEARCH('13 Space Heating Costs'!$C$7:$AW$7,'12 Space Heating Subcomponents'!K51)) *'13 Space Heating Costs'!$C$15:$AW$15)</f>
        <v>3693.6918446698437</v>
      </c>
      <c r="AN17" s="140" cm="1">
        <f t="array" ref="AN17">SUMPRODUCT(ISNUMBER( SEARCH('13 Space Heating Costs'!$C$7:$AW$7,'12 Space Heating Subcomponents'!L51)) *'13 Space Heating Costs'!$C$15:$AW$15)</f>
        <v>3647.8129437755138</v>
      </c>
      <c r="AO17" s="140" cm="1">
        <f t="array" ref="AO17">SUMPRODUCT(ISNUMBER( SEARCH('13 Space Heating Costs'!$C$7:$AW$7,'12 Space Heating Subcomponents'!M51)) *'13 Space Heating Costs'!$C$15:$AW$15)</f>
        <v>3501.1138814040123</v>
      </c>
      <c r="AP17" s="139"/>
      <c r="AQ17" s="140" cm="1">
        <f t="array" ref="AQ17">SUMPRODUCT(ISNUMBER( SEARCH('13 Space Heating Costs'!$C$7:$AW$7,'12 Space Heating Subcomponents'!O51)) *'13 Space Heating Costs'!$C$15:$AW$15)</f>
        <v>3501.1138814040123</v>
      </c>
      <c r="AR17" s="140" cm="1">
        <f t="array" ref="AR17">SUMPRODUCT(ISNUMBER( SEARCH('13 Space Heating Costs'!$C$7:$AW$7,'12 Space Heating Subcomponents'!P51)) *'13 Space Heating Costs'!$C$15:$AW$15)</f>
        <v>4725.9671147922609</v>
      </c>
      <c r="AS17" s="402" cm="1">
        <f t="array" ref="AS17">SUMPRODUCT(ISNUMBER( SEARCH('13 Space Heating Costs'!$C$7:$AW$7,'12 Space Heating Subcomponents'!Q51)) *'13 Space Heating Costs'!$C$15:$AW$15)</f>
        <v>5408.0588278613177</v>
      </c>
      <c r="AT17" s="72"/>
    </row>
    <row r="18" spans="1:46" ht="200.1" customHeight="1" x14ac:dyDescent="0.25">
      <c r="A18" s="60"/>
      <c r="B18" s="1105"/>
      <c r="C18" s="182" t="s">
        <v>246</v>
      </c>
      <c r="D18" s="182" t="s">
        <v>250</v>
      </c>
      <c r="E18" s="140" cm="1">
        <f t="array" ref="E18">SUMPRODUCT(ISNUMBER( SEARCH('13 Space Heating Costs'!$C$7:$AW$7,'12 Space Heating Subcomponents'!G20)) *'13 Space Heating Costs'!$C$15:$AW$15)</f>
        <v>15991.014563258715</v>
      </c>
      <c r="F18" s="140" cm="1">
        <f t="array" ref="F18">SUMPRODUCT(ISNUMBER( SEARCH('13 Space Heating Costs'!$C$7:$AW$7,'12 Space Heating Subcomponents'!H20)) *'13 Space Heating Costs'!$C$15:$AW$15)</f>
        <v>20496.135385876012</v>
      </c>
      <c r="G18" s="140" cm="1">
        <f t="array" ref="G18">SUMPRODUCT(ISNUMBER( SEARCH('13 Space Heating Costs'!$C$7:$AW$7,'12 Space Heating Subcomponents'!I20)) *'13 Space Heating Costs'!$C$15:$AW$15)</f>
        <v>15984.897376472805</v>
      </c>
      <c r="H18" s="140" cm="1">
        <f t="array" ref="H18">SUMPRODUCT(ISNUMBER( SEARCH('13 Space Heating Costs'!$C$7:$AW$7,'12 Space Heating Subcomponents'!J20)) *'13 Space Heating Costs'!$C$15:$AW$15)</f>
        <v>20496.135385876012</v>
      </c>
      <c r="I18" s="140" cm="1">
        <f t="array" ref="I18">SUMPRODUCT(ISNUMBER( SEARCH('13 Space Heating Costs'!$C$7:$AW$7,'12 Space Heating Subcomponents'!K20)) *'13 Space Heating Costs'!$C$15:$AW$15)</f>
        <v>15847.260673789815</v>
      </c>
      <c r="J18" s="140" cm="1">
        <f t="array" ref="J18">SUMPRODUCT(ISNUMBER( SEARCH('13 Space Heating Costs'!$C$7:$AW$7,'12 Space Heating Subcomponents'!L20)) *'13 Space Heating Costs'!$C$15:$AW$15)</f>
        <v>19660.18095357385</v>
      </c>
      <c r="K18" s="140" cm="1">
        <f t="array" ref="K18">SUMPRODUCT(ISNUMBER( SEARCH('13 Space Heating Costs'!$C$7:$AW$7,'12 Space Heating Subcomponents'!M20)) *'13 Space Heating Costs'!$C$15:$AW$15)</f>
        <v>15654.682710523984</v>
      </c>
      <c r="L18" s="140" cm="1">
        <f t="array" ref="L18">SUMPRODUCT(ISNUMBER( SEARCH('13 Space Heating Costs'!$C$7:$AW$7,'12 Space Heating Subcomponents'!N20)) *'13 Space Heating Costs'!$C$15:$AW$15)</f>
        <v>19256.37150969711</v>
      </c>
      <c r="M18" s="139"/>
      <c r="N18" s="140" cm="1">
        <f t="array" ref="N18">SUMPRODUCT(ISNUMBER( SEARCH('13 Space Heating Costs'!$C$7:$AW$7,'12 Space Heating Subcomponents'!P20)) *'13 Space Heating Costs'!$C$15:$AW$15)</f>
        <v>20174.983079615704</v>
      </c>
      <c r="O18" s="402" cm="1">
        <f t="array" ref="O18">SUMPRODUCT(ISNUMBER( SEARCH('13 Space Heating Costs'!$C$7:$AW$7,'12 Space Heating Subcomponents'!Q20)) *'13 Space Heating Costs'!$C$15:$AW$15)</f>
        <v>18282.585295743709</v>
      </c>
      <c r="P18" s="72"/>
      <c r="Q18" s="1105"/>
      <c r="R18" s="182" t="s">
        <v>246</v>
      </c>
      <c r="S18" s="182" t="s">
        <v>250</v>
      </c>
      <c r="T18" s="140" cm="1">
        <f t="array" ref="T18">SUMPRODUCT(ISNUMBER( SEARCH('13 Space Heating Costs'!$C$7:$AW$7,'12 Space Heating Subcomponents'!G36)) *'13 Space Heating Costs'!$C$15:$AW$15)</f>
        <v>15991.014563258715</v>
      </c>
      <c r="U18" s="140" cm="1">
        <f t="array" ref="U18">SUMPRODUCT(ISNUMBER( SEARCH('13 Space Heating Costs'!$C$7:$AW$7,'12 Space Heating Subcomponents'!H36)) *'13 Space Heating Costs'!$C$15:$AW$15)</f>
        <v>20496.135385876012</v>
      </c>
      <c r="V18" s="140" cm="1">
        <f t="array" ref="V18">SUMPRODUCT(ISNUMBER( SEARCH('13 Space Heating Costs'!$C$7:$AW$7,'12 Space Heating Subcomponents'!I36)) *'13 Space Heating Costs'!$C$15:$AW$15)</f>
        <v>15984.897376472805</v>
      </c>
      <c r="W18" s="140" cm="1">
        <f t="array" ref="W18">SUMPRODUCT(ISNUMBER( SEARCH('13 Space Heating Costs'!$C$7:$AW$7,'12 Space Heating Subcomponents'!J36)) *'13 Space Heating Costs'!$C$15:$AW$15)</f>
        <v>20496.135385876012</v>
      </c>
      <c r="X18" s="140" cm="1">
        <f t="array" ref="X18">SUMPRODUCT(ISNUMBER( SEARCH('13 Space Heating Costs'!$C$7:$AW$7,'12 Space Heating Subcomponents'!K36)) *'13 Space Heating Costs'!$C$15:$AW$15)</f>
        <v>15847.260673789815</v>
      </c>
      <c r="Y18" s="140" cm="1">
        <f t="array" ref="Y18">SUMPRODUCT(ISNUMBER( SEARCH('13 Space Heating Costs'!$C$7:$AW$7,'12 Space Heating Subcomponents'!L36)) *'13 Space Heating Costs'!$C$15:$AW$15)</f>
        <v>19660.18095357385</v>
      </c>
      <c r="Z18" s="140" cm="1">
        <f t="array" ref="Z18">SUMPRODUCT(ISNUMBER( SEARCH('13 Space Heating Costs'!$C$7:$AW$7,'12 Space Heating Subcomponents'!M36)) *'13 Space Heating Costs'!$C$15:$AW$15)</f>
        <v>15654.682710523984</v>
      </c>
      <c r="AA18" s="140" cm="1">
        <f t="array" ref="AA18">SUMPRODUCT(ISNUMBER( SEARCH('13 Space Heating Costs'!$C$7:$AW$7,'12 Space Heating Subcomponents'!N36)) *'13 Space Heating Costs'!$C$15:$AW$15)</f>
        <v>19256.37150969711</v>
      </c>
      <c r="AB18" s="139"/>
      <c r="AC18" s="140" cm="1">
        <f t="array" ref="AC18">SUMPRODUCT(ISNUMBER( SEARCH('13 Space Heating Costs'!$C$7:$AW$7,'12 Space Heating Subcomponents'!P36)) *'13 Space Heating Costs'!$C$15:$AW$15)</f>
        <v>20174.983079615704</v>
      </c>
      <c r="AD18" s="402" cm="1">
        <f t="array" ref="AD18">SUMPRODUCT(ISNUMBER( SEARCH('13 Space Heating Costs'!$C$7:$AW$7,'12 Space Heating Subcomponents'!Q36)) *'13 Space Heating Costs'!$C$15:$AW$15)</f>
        <v>18282.585295743709</v>
      </c>
      <c r="AE18" s="72"/>
      <c r="AF18" s="1105"/>
      <c r="AG18" s="182" t="s">
        <v>246</v>
      </c>
      <c r="AH18" s="182" t="s">
        <v>250</v>
      </c>
      <c r="AI18" s="140" cm="1">
        <f t="array" ref="AI18">SUMPRODUCT(ISNUMBER( SEARCH('13 Space Heating Costs'!$C$7:$AW$7,'12 Space Heating Subcomponents'!G52)) *'13 Space Heating Costs'!$C$15:$AW$15)</f>
        <v>15991.014563258715</v>
      </c>
      <c r="AJ18" s="140" cm="1">
        <f t="array" ref="AJ18">SUMPRODUCT(ISNUMBER( SEARCH('13 Space Heating Costs'!$C$7:$AW$7,'12 Space Heating Subcomponents'!H52)) *'13 Space Heating Costs'!$C$15:$AW$15)</f>
        <v>20496.135385876012</v>
      </c>
      <c r="AK18" s="140" cm="1">
        <f t="array" ref="AK18">SUMPRODUCT(ISNUMBER( SEARCH('13 Space Heating Costs'!$C$7:$AW$7,'12 Space Heating Subcomponents'!I52)) *'13 Space Heating Costs'!$C$15:$AW$15)</f>
        <v>15984.897376472805</v>
      </c>
      <c r="AL18" s="140" cm="1">
        <f t="array" ref="AL18">SUMPRODUCT(ISNUMBER( SEARCH('13 Space Heating Costs'!$C$7:$AW$7,'12 Space Heating Subcomponents'!J52)) *'13 Space Heating Costs'!$C$15:$AW$15)</f>
        <v>20496.135385876012</v>
      </c>
      <c r="AM18" s="140" cm="1">
        <f t="array" ref="AM18">SUMPRODUCT(ISNUMBER( SEARCH('13 Space Heating Costs'!$C$7:$AW$7,'12 Space Heating Subcomponents'!K52)) *'13 Space Heating Costs'!$C$15:$AW$15)</f>
        <v>15847.260673789815</v>
      </c>
      <c r="AN18" s="140" cm="1">
        <f t="array" ref="AN18">SUMPRODUCT(ISNUMBER( SEARCH('13 Space Heating Costs'!$C$7:$AW$7,'12 Space Heating Subcomponents'!L52)) *'13 Space Heating Costs'!$C$15:$AW$15)</f>
        <v>19660.18095357385</v>
      </c>
      <c r="AO18" s="140" cm="1">
        <f t="array" ref="AO18">SUMPRODUCT(ISNUMBER( SEARCH('13 Space Heating Costs'!$C$7:$AW$7,'12 Space Heating Subcomponents'!M52)) *'13 Space Heating Costs'!$C$15:$AW$15)</f>
        <v>15654.682710523984</v>
      </c>
      <c r="AP18" s="140" cm="1">
        <f t="array" ref="AP18">SUMPRODUCT(ISNUMBER( SEARCH('13 Space Heating Costs'!$C$7:$AW$7,'12 Space Heating Subcomponents'!N52)) *'13 Space Heating Costs'!$C$15:$AW$15)</f>
        <v>19256.37150969711</v>
      </c>
      <c r="AQ18" s="139"/>
      <c r="AR18" s="140" cm="1">
        <f t="array" ref="AR18">SUMPRODUCT(ISNUMBER( SEARCH('13 Space Heating Costs'!$C$7:$AW$7,'12 Space Heating Subcomponents'!P52)) *'13 Space Heating Costs'!$C$15:$AW$15)</f>
        <v>20174.983079615704</v>
      </c>
      <c r="AS18" s="402" cm="1">
        <f t="array" ref="AS18">SUMPRODUCT(ISNUMBER( SEARCH('13 Space Heating Costs'!$C$7:$AW$7,'12 Space Heating Subcomponents'!Q52)) *'13 Space Heating Costs'!$C$15:$AW$15)</f>
        <v>18282.585295743709</v>
      </c>
      <c r="AT18" s="72"/>
    </row>
    <row r="19" spans="1:46" ht="200.1" customHeight="1" x14ac:dyDescent="0.25">
      <c r="A19" s="60"/>
      <c r="B19" s="1105"/>
      <c r="C19" s="182" t="s">
        <v>86</v>
      </c>
      <c r="D19" s="182" t="s">
        <v>243</v>
      </c>
      <c r="E19" s="140" cm="1">
        <f t="array" ref="E19">SUMPRODUCT(ISNUMBER( SEARCH('13 Space Heating Costs'!$C$7:$AW$7,'12 Space Heating Subcomponents'!G21)) *'13 Space Heating Costs'!$C$15:$AW$15)</f>
        <v>2459.3356231209427</v>
      </c>
      <c r="F19" s="140" cm="1">
        <f t="array" ref="F19">SUMPRODUCT(ISNUMBER( SEARCH('13 Space Heating Costs'!$C$7:$AW$7,'12 Space Heating Subcomponents'!H21)) *'13 Space Heating Costs'!$C$15:$AW$15)</f>
        <v>3669.0093100347685</v>
      </c>
      <c r="G19" s="140" cm="1">
        <f t="array" ref="G19">SUMPRODUCT(ISNUMBER( SEARCH('13 Space Heating Costs'!$C$7:$AW$7,'12 Space Heating Subcomponents'!I21)) *'13 Space Heating Costs'!$C$15:$AW$15)</f>
        <v>5748.6655720385043</v>
      </c>
      <c r="H19" s="140" cm="1">
        <f t="array" ref="H19">SUMPRODUCT(ISNUMBER( SEARCH('13 Space Heating Costs'!$C$7:$AW$7,'12 Space Heating Subcomponents'!J21)) *'13 Space Heating Costs'!$C$15:$AW$15)</f>
        <v>6964.4564457382403</v>
      </c>
      <c r="I19" s="140" cm="1">
        <f t="array" ref="I19">SUMPRODUCT(ISNUMBER( SEARCH('13 Space Heating Costs'!$C$7:$AW$7,'12 Space Heating Subcomponents'!K21)) *'13 Space Heating Costs'!$C$15:$AW$15)</f>
        <v>2878.9337786269311</v>
      </c>
      <c r="J19" s="140" cm="1">
        <f t="array" ref="J19">SUMPRODUCT(ISNUMBER( SEARCH('13 Space Heating Costs'!$C$7:$AW$7,'12 Space Heating Subcomponents'!L21)) *'13 Space Heating Costs'!$C$15:$AW$15)</f>
        <v>6128.5020134360748</v>
      </c>
      <c r="K19" s="140" cm="1">
        <f t="array" ref="K19">SUMPRODUCT(ISNUMBER( SEARCH('13 Space Heating Costs'!$C$7:$AW$7,'12 Space Heating Subcomponents'!M21)) *'13 Space Heating Costs'!$C$15:$AW$15)</f>
        <v>3383.6016884645578</v>
      </c>
      <c r="L19" s="140" cm="1">
        <f t="array" ref="L19">SUMPRODUCT(ISNUMBER( SEARCH('13 Space Heating Costs'!$C$7:$AW$7,'12 Space Heating Subcomponents'!N21)) *'13 Space Heating Costs'!$C$15:$AW$15)</f>
        <v>6985.2904876376806</v>
      </c>
      <c r="M19" s="140" cm="1">
        <f t="array" ref="M19">SUMPRODUCT(ISNUMBER( SEARCH('13 Space Heating Costs'!$C$7:$AW$7,'12 Space Heating Subcomponents'!O21)) *'13 Space Heating Costs'!$C$15:$AW$15)</f>
        <v>3383.6016884645578</v>
      </c>
      <c r="N19" s="139"/>
      <c r="O19" s="402" cm="1">
        <f t="array" ref="O19">SUMPRODUCT(ISNUMBER( SEARCH('13 Space Heating Costs'!$C$7:$AW$7,'12 Space Heating Subcomponents'!Q21)) *'13 Space Heating Costs'!$C$15:$AW$15)</f>
        <v>8743.5993644128648</v>
      </c>
      <c r="P19" s="72"/>
      <c r="Q19" s="1105"/>
      <c r="R19" s="182" t="s">
        <v>86</v>
      </c>
      <c r="S19" s="182" t="s">
        <v>243</v>
      </c>
      <c r="T19" s="140" cm="1">
        <f t="array" ref="T19">SUMPRODUCT(ISNUMBER( SEARCH('13 Space Heating Costs'!$C$7:$AW$7,'12 Space Heating Subcomponents'!G37)) *'13 Space Heating Costs'!$C$15:$AW$15)</f>
        <v>3249.6765469012425</v>
      </c>
      <c r="U19" s="140" cm="1">
        <f t="array" ref="U19">SUMPRODUCT(ISNUMBER( SEARCH('13 Space Heating Costs'!$C$7:$AW$7,'12 Space Heating Subcomponents'!H37)) *'13 Space Heating Costs'!$C$15:$AW$15)</f>
        <v>4459.3502338150683</v>
      </c>
      <c r="V19" s="140" cm="1">
        <f t="array" ref="V19">SUMPRODUCT(ISNUMBER( SEARCH('13 Space Heating Costs'!$C$7:$AW$7,'12 Space Heating Subcomponents'!I37)) *'13 Space Heating Costs'!$C$15:$AW$15)</f>
        <v>6539.0064958188041</v>
      </c>
      <c r="W19" s="140" cm="1">
        <f t="array" ref="W19">SUMPRODUCT(ISNUMBER( SEARCH('13 Space Heating Costs'!$C$7:$AW$7,'12 Space Heating Subcomponents'!J37)) *'13 Space Heating Costs'!$C$15:$AW$15)</f>
        <v>7754.7973695185401</v>
      </c>
      <c r="X19" s="140" cm="1">
        <f t="array" ref="X19">SUMPRODUCT(ISNUMBER( SEARCH('13 Space Heating Costs'!$C$7:$AW$7,'12 Space Heating Subcomponents'!K37)) *'13 Space Heating Costs'!$C$15:$AW$15)</f>
        <v>3669.274702407231</v>
      </c>
      <c r="Y19" s="140" cm="1">
        <f t="array" ref="Y19">SUMPRODUCT(ISNUMBER( SEARCH('13 Space Heating Costs'!$C$7:$AW$7,'12 Space Heating Subcomponents'!L37)) *'13 Space Heating Costs'!$C$15:$AW$15)</f>
        <v>6918.8429372163746</v>
      </c>
      <c r="Z19" s="140" cm="1">
        <f t="array" ref="Z19">SUMPRODUCT(ISNUMBER( SEARCH('13 Space Heating Costs'!$C$7:$AW$7,'12 Space Heating Subcomponents'!M37)) *'13 Space Heating Costs'!$C$15:$AW$15)</f>
        <v>4173.9426122448576</v>
      </c>
      <c r="AA19" s="140" cm="1">
        <f t="array" ref="AA19">SUMPRODUCT(ISNUMBER( SEARCH('13 Space Heating Costs'!$C$7:$AW$7,'12 Space Heating Subcomponents'!N37)) *'13 Space Heating Costs'!$C$15:$AW$15)</f>
        <v>7775.6314114179804</v>
      </c>
      <c r="AB19" s="140" cm="1">
        <f t="array" ref="AB19">SUMPRODUCT(ISNUMBER( SEARCH('13 Space Heating Costs'!$C$7:$AW$7,'12 Space Heating Subcomponents'!O37)) *'13 Space Heating Costs'!$C$15:$AW$15)</f>
        <v>4173.9426122448576</v>
      </c>
      <c r="AC19" s="139"/>
      <c r="AD19" s="402" cm="1">
        <f t="array" ref="AD19">SUMPRODUCT(ISNUMBER( SEARCH('13 Space Heating Costs'!$C$7:$AW$7,'12 Space Heating Subcomponents'!Q37)) *'13 Space Heating Costs'!$C$15:$AW$15)</f>
        <v>9533.9402881931637</v>
      </c>
      <c r="AE19" s="72"/>
      <c r="AF19" s="1105"/>
      <c r="AG19" s="182" t="s">
        <v>86</v>
      </c>
      <c r="AH19" s="182" t="s">
        <v>243</v>
      </c>
      <c r="AI19" s="140" cm="1">
        <f t="array" ref="AI19">SUMPRODUCT(ISNUMBER( SEARCH('13 Space Heating Costs'!$C$7:$AW$7,'12 Space Heating Subcomponents'!G53)) *'13 Space Heating Costs'!$C$15:$AW$15)</f>
        <v>2075.8439957303995</v>
      </c>
      <c r="AJ19" s="140" cm="1">
        <f t="array" ref="AJ19">SUMPRODUCT(ISNUMBER( SEARCH('13 Space Heating Costs'!$C$7:$AW$7,'12 Space Heating Subcomponents'!H53)) *'13 Space Heating Costs'!$C$15:$AW$15)</f>
        <v>3285.5176826442248</v>
      </c>
      <c r="AK19" s="140" cm="1">
        <f t="array" ref="AK19">SUMPRODUCT(ISNUMBER( SEARCH('13 Space Heating Costs'!$C$7:$AW$7,'12 Space Heating Subcomponents'!I53)) *'13 Space Heating Costs'!$C$15:$AW$15)</f>
        <v>5365.1739446479605</v>
      </c>
      <c r="AL19" s="140" cm="1">
        <f t="array" ref="AL19">SUMPRODUCT(ISNUMBER( SEARCH('13 Space Heating Costs'!$C$7:$AW$7,'12 Space Heating Subcomponents'!J53)) *'13 Space Heating Costs'!$C$15:$AW$15)</f>
        <v>6580.9648183476966</v>
      </c>
      <c r="AM19" s="140" cm="1">
        <f t="array" ref="AM19">SUMPRODUCT(ISNUMBER( SEARCH('13 Space Heating Costs'!$C$7:$AW$7,'12 Space Heating Subcomponents'!K53)) *'13 Space Heating Costs'!$C$15:$AW$15)</f>
        <v>2495.4421512363879</v>
      </c>
      <c r="AN19" s="140" cm="1">
        <f t="array" ref="AN19">SUMPRODUCT(ISNUMBER( SEARCH('13 Space Heating Costs'!$C$7:$AW$7,'12 Space Heating Subcomponents'!L53)) *'13 Space Heating Costs'!$C$15:$AW$15)</f>
        <v>5745.010386045531</v>
      </c>
      <c r="AO19" s="140" cm="1">
        <f t="array" ref="AO19">SUMPRODUCT(ISNUMBER( SEARCH('13 Space Heating Costs'!$C$7:$AW$7,'12 Space Heating Subcomponents'!M53)) *'13 Space Heating Costs'!$C$15:$AW$15)</f>
        <v>3000.1100610740141</v>
      </c>
      <c r="AP19" s="140" cm="1">
        <f t="array" ref="AP19">SUMPRODUCT(ISNUMBER( SEARCH('13 Space Heating Costs'!$C$7:$AW$7,'12 Space Heating Subcomponents'!N53)) *'13 Space Heating Costs'!$C$15:$AW$15)</f>
        <v>6601.7988602471369</v>
      </c>
      <c r="AQ19" s="140" cm="1">
        <f t="array" ref="AQ19">SUMPRODUCT(ISNUMBER( SEARCH('13 Space Heating Costs'!$C$7:$AW$7,'12 Space Heating Subcomponents'!O53)) *'13 Space Heating Costs'!$C$15:$AW$15)</f>
        <v>3000.1100610740141</v>
      </c>
      <c r="AR19" s="139"/>
      <c r="AS19" s="402" cm="1">
        <f t="array" ref="AS19">SUMPRODUCT(ISNUMBER( SEARCH('13 Space Heating Costs'!$C$7:$AW$7,'12 Space Heating Subcomponents'!Q53)) *'13 Space Heating Costs'!$C$15:$AW$15)</f>
        <v>8360.1077370223211</v>
      </c>
      <c r="AT19" s="72"/>
    </row>
    <row r="20" spans="1:46" s="61" customFormat="1" ht="200.1" customHeight="1" thickBot="1" x14ac:dyDescent="0.3">
      <c r="A20" s="401"/>
      <c r="B20" s="1106"/>
      <c r="C20" s="366" t="s">
        <v>252</v>
      </c>
      <c r="D20" s="366" t="s">
        <v>253</v>
      </c>
      <c r="E20" s="403" cm="1">
        <f t="array" ref="E20">SUMPRODUCT(ISNUMBER( SEARCH('13 Space Heating Costs'!$C$7:$AW$7,'12 Space Heating Subcomponents'!G22)) *'13 Space Heating Costs'!$C$15:$AW$15)</f>
        <v>3700.5332274785687</v>
      </c>
      <c r="F20" s="403" cm="1">
        <f t="array" ref="F20">SUMPRODUCT(ISNUMBER( SEARCH('13 Space Heating Costs'!$C$7:$AW$7,'12 Space Heating Subcomponents'!H22)) *'13 Space Heating Costs'!$C$15:$AW$15)</f>
        <v>4910.2069143923945</v>
      </c>
      <c r="G20" s="403" cm="1">
        <f t="array" ref="G20">SUMPRODUCT(ISNUMBER( SEARCH('13 Space Heating Costs'!$C$7:$AW$7,'12 Space Heating Subcomponents'!I22)) *'13 Space Heating Costs'!$C$15:$AW$15)</f>
        <v>3694.4160406926585</v>
      </c>
      <c r="H20" s="403" cm="1">
        <f t="array" ref="H20">SUMPRODUCT(ISNUMBER( SEARCH('13 Space Heating Costs'!$C$7:$AW$7,'12 Space Heating Subcomponents'!J22)) *'13 Space Heating Costs'!$C$15:$AW$15)</f>
        <v>4910.2069143923945</v>
      </c>
      <c r="I20" s="403" cm="1">
        <f t="array" ref="I20">SUMPRODUCT(ISNUMBER( SEARCH('13 Space Heating Costs'!$C$7:$AW$7,'12 Space Heating Subcomponents'!K22)) *'13 Space Heating Costs'!$C$15:$AW$15)</f>
        <v>3556.7793380096691</v>
      </c>
      <c r="J20" s="403" cm="1">
        <f t="array" ref="J20">SUMPRODUCT(ISNUMBER( SEARCH('13 Space Heating Costs'!$C$7:$AW$7,'12 Space Heating Subcomponents'!L22)) *'13 Space Heating Costs'!$C$15:$AW$15)</f>
        <v>3510.9004371153396</v>
      </c>
      <c r="K20" s="403" cm="1">
        <f t="array" ref="K20">SUMPRODUCT(ISNUMBER( SEARCH('13 Space Heating Costs'!$C$7:$AW$7,'12 Space Heating Subcomponents'!M22)) *'13 Space Heating Costs'!$C$15:$AW$15)</f>
        <v>4061.4472478472953</v>
      </c>
      <c r="L20" s="403" cm="1">
        <f t="array" ref="L20">SUMPRODUCT(ISNUMBER( SEARCH('13 Space Heating Costs'!$C$7:$AW$7,'12 Space Heating Subcomponents'!N22)) *'13 Space Heating Costs'!$C$15:$AW$15)</f>
        <v>4367.6889113169455</v>
      </c>
      <c r="M20" s="403" cm="1">
        <f t="array" ref="M20">SUMPRODUCT(ISNUMBER( SEARCH('13 Space Heating Costs'!$C$7:$AW$7,'12 Space Heating Subcomponents'!O22)) *'13 Space Heating Costs'!$C$15:$AW$15)</f>
        <v>4061.4472478472953</v>
      </c>
      <c r="N20" s="403" cm="1">
        <f t="array" ref="N20">SUMPRODUCT(ISNUMBER( SEARCH('13 Space Heating Costs'!$C$7:$AW$7,'12 Space Heating Subcomponents'!P22)) *'13 Space Heating Costs'!$C$15:$AW$15)</f>
        <v>4589.0546081320863</v>
      </c>
      <c r="O20" s="516"/>
      <c r="P20" s="58"/>
      <c r="Q20" s="1106"/>
      <c r="R20" s="366" t="s">
        <v>252</v>
      </c>
      <c r="S20" s="366" t="s">
        <v>253</v>
      </c>
      <c r="T20" s="403" cm="1">
        <f t="array" ref="T20">SUMPRODUCT(ISNUMBER( SEARCH('13 Space Heating Costs'!$C$7:$AW$7,'12 Space Heating Subcomponents'!G38)) *'13 Space Heating Costs'!$C$15:$AW$15)</f>
        <v>3700.5332274785687</v>
      </c>
      <c r="U20" s="403" cm="1">
        <f t="array" ref="U20">SUMPRODUCT(ISNUMBER( SEARCH('13 Space Heating Costs'!$C$7:$AW$7,'12 Space Heating Subcomponents'!H38)) *'13 Space Heating Costs'!$C$15:$AW$15)</f>
        <v>4910.2069143923945</v>
      </c>
      <c r="V20" s="403" cm="1">
        <f t="array" ref="V20">SUMPRODUCT(ISNUMBER( SEARCH('13 Space Heating Costs'!$C$7:$AW$7,'12 Space Heating Subcomponents'!I38)) *'13 Space Heating Costs'!$C$15:$AW$15)</f>
        <v>3694.4160406926585</v>
      </c>
      <c r="W20" s="403" cm="1">
        <f t="array" ref="W20">SUMPRODUCT(ISNUMBER( SEARCH('13 Space Heating Costs'!$C$7:$AW$7,'12 Space Heating Subcomponents'!J38)) *'13 Space Heating Costs'!$C$15:$AW$15)</f>
        <v>4910.2069143923945</v>
      </c>
      <c r="X20" s="403" cm="1">
        <f t="array" ref="X20">SUMPRODUCT(ISNUMBER( SEARCH('13 Space Heating Costs'!$C$7:$AW$7,'12 Space Heating Subcomponents'!K38)) *'13 Space Heating Costs'!$C$15:$AW$15)</f>
        <v>3556.7793380096691</v>
      </c>
      <c r="Y20" s="403" cm="1">
        <f t="array" ref="Y20">SUMPRODUCT(ISNUMBER( SEARCH('13 Space Heating Costs'!$C$7:$AW$7,'12 Space Heating Subcomponents'!L38)) *'13 Space Heating Costs'!$C$15:$AW$15)</f>
        <v>3510.9004371153396</v>
      </c>
      <c r="Z20" s="403" cm="1">
        <f t="array" ref="Z20">SUMPRODUCT(ISNUMBER( SEARCH('13 Space Heating Costs'!$C$7:$AW$7,'12 Space Heating Subcomponents'!M38)) *'13 Space Heating Costs'!$C$15:$AW$15)</f>
        <v>4061.4472478472953</v>
      </c>
      <c r="AA20" s="403" cm="1">
        <f t="array" ref="AA20">SUMPRODUCT(ISNUMBER( SEARCH('13 Space Heating Costs'!$C$7:$AW$7,'12 Space Heating Subcomponents'!N38)) *'13 Space Heating Costs'!$C$15:$AW$15)</f>
        <v>4367.6889113169455</v>
      </c>
      <c r="AB20" s="403" cm="1">
        <f t="array" ref="AB20">SUMPRODUCT(ISNUMBER( SEARCH('13 Space Heating Costs'!$C$7:$AW$7,'12 Space Heating Subcomponents'!O38)) *'13 Space Heating Costs'!$C$15:$AW$15)</f>
        <v>4061.4472478472953</v>
      </c>
      <c r="AC20" s="403" cm="1">
        <f t="array" ref="AC20">SUMPRODUCT(ISNUMBER( SEARCH('13 Space Heating Costs'!$C$7:$AW$7,'12 Space Heating Subcomponents'!P38)) *'13 Space Heating Costs'!$C$15:$AW$15)</f>
        <v>4589.0546081320863</v>
      </c>
      <c r="AD20" s="516"/>
      <c r="AE20" s="58"/>
      <c r="AF20" s="1106"/>
      <c r="AG20" s="366" t="s">
        <v>252</v>
      </c>
      <c r="AH20" s="366" t="s">
        <v>253</v>
      </c>
      <c r="AI20" s="403" cm="1">
        <f t="array" ref="AI20">SUMPRODUCT(ISNUMBER( SEARCH('13 Space Heating Costs'!$C$7:$AW$7,'12 Space Heating Subcomponents'!G54)) *'13 Space Heating Costs'!$C$15:$AW$15)</f>
        <v>3700.5332274785687</v>
      </c>
      <c r="AJ20" s="403" cm="1">
        <f t="array" ref="AJ20">SUMPRODUCT(ISNUMBER( SEARCH('13 Space Heating Costs'!$C$7:$AW$7,'12 Space Heating Subcomponents'!H54)) *'13 Space Heating Costs'!$C$15:$AW$15)</f>
        <v>4910.2069143923945</v>
      </c>
      <c r="AK20" s="403" cm="1">
        <f t="array" ref="AK20">SUMPRODUCT(ISNUMBER( SEARCH('13 Space Heating Costs'!$C$7:$AW$7,'12 Space Heating Subcomponents'!I54)) *'13 Space Heating Costs'!$C$15:$AW$15)</f>
        <v>3694.4160406926585</v>
      </c>
      <c r="AL20" s="403" cm="1">
        <f t="array" ref="AL20">SUMPRODUCT(ISNUMBER( SEARCH('13 Space Heating Costs'!$C$7:$AW$7,'12 Space Heating Subcomponents'!J54)) *'13 Space Heating Costs'!$C$15:$AW$15)</f>
        <v>4910.2069143923945</v>
      </c>
      <c r="AM20" s="403" cm="1">
        <f t="array" ref="AM20">SUMPRODUCT(ISNUMBER( SEARCH('13 Space Heating Costs'!$C$7:$AW$7,'12 Space Heating Subcomponents'!K54)) *'13 Space Heating Costs'!$C$15:$AW$15)</f>
        <v>3556.7793380096691</v>
      </c>
      <c r="AN20" s="403" cm="1">
        <f t="array" ref="AN20">SUMPRODUCT(ISNUMBER( SEARCH('13 Space Heating Costs'!$C$7:$AW$7,'12 Space Heating Subcomponents'!L54)) *'13 Space Heating Costs'!$C$15:$AW$15)</f>
        <v>3510.9004371153396</v>
      </c>
      <c r="AO20" s="403" cm="1">
        <f t="array" ref="AO20">SUMPRODUCT(ISNUMBER( SEARCH('13 Space Heating Costs'!$C$7:$AW$7,'12 Space Heating Subcomponents'!M54)) *'13 Space Heating Costs'!$C$15:$AW$15)</f>
        <v>4061.4472478472953</v>
      </c>
      <c r="AP20" s="403" cm="1">
        <f t="array" ref="AP20">SUMPRODUCT(ISNUMBER( SEARCH('13 Space Heating Costs'!$C$7:$AW$7,'12 Space Heating Subcomponents'!N54)) *'13 Space Heating Costs'!$C$15:$AW$15)</f>
        <v>4367.6889113169455</v>
      </c>
      <c r="AQ20" s="403" cm="1">
        <f t="array" ref="AQ20">SUMPRODUCT(ISNUMBER( SEARCH('13 Space Heating Costs'!$C$7:$AW$7,'12 Space Heating Subcomponents'!O54)) *'13 Space Heating Costs'!$C$15:$AW$15)</f>
        <v>4061.4472478472953</v>
      </c>
      <c r="AR20" s="403" cm="1">
        <f t="array" ref="AR20">SUMPRODUCT(ISNUMBER( SEARCH('13 Space Heating Costs'!$C$7:$AW$7,'12 Space Heating Subcomponents'!P54)) *'13 Space Heating Costs'!$C$15:$AW$15)</f>
        <v>4589.0546081320863</v>
      </c>
      <c r="AS20" s="516"/>
      <c r="AT20" s="58"/>
    </row>
    <row r="21" spans="1:46" s="61" customFormat="1" ht="80.099999999999994" customHeight="1" thickBot="1" x14ac:dyDescent="0.3">
      <c r="B21" s="157"/>
      <c r="C21" s="157"/>
      <c r="D21" s="157"/>
      <c r="E21" s="157"/>
      <c r="F21" s="157"/>
      <c r="G21" s="157"/>
      <c r="H21" s="157"/>
      <c r="I21" s="157"/>
      <c r="J21" s="157"/>
      <c r="K21" s="157"/>
      <c r="L21" s="157"/>
      <c r="M21" s="157"/>
      <c r="N21" s="157"/>
      <c r="O21" s="157"/>
      <c r="Q21" s="157"/>
      <c r="R21" s="157"/>
      <c r="S21" s="157"/>
      <c r="T21" s="157"/>
      <c r="U21" s="157"/>
      <c r="V21" s="157"/>
      <c r="W21" s="157"/>
      <c r="X21" s="157"/>
      <c r="Y21" s="157"/>
      <c r="Z21" s="157"/>
      <c r="AA21" s="157"/>
      <c r="AB21" s="157"/>
      <c r="AC21" s="157"/>
      <c r="AD21" s="157"/>
      <c r="AF21" s="157"/>
      <c r="AG21" s="157"/>
      <c r="AH21" s="157"/>
      <c r="AI21" s="157"/>
      <c r="AJ21" s="157"/>
      <c r="AK21" s="157"/>
      <c r="AL21" s="157"/>
      <c r="AM21" s="157"/>
      <c r="AN21" s="157"/>
      <c r="AO21" s="157"/>
      <c r="AP21" s="157"/>
      <c r="AQ21" s="157"/>
      <c r="AR21" s="157"/>
      <c r="AS21" s="157"/>
    </row>
    <row r="22" spans="1:46" s="5" customFormat="1" ht="175.15" customHeight="1" x14ac:dyDescent="0.25">
      <c r="A22" s="673"/>
      <c r="B22" s="1107" t="s">
        <v>1070</v>
      </c>
      <c r="C22" s="1108"/>
      <c r="D22" s="1108"/>
      <c r="E22" s="1108"/>
      <c r="F22" s="1108"/>
      <c r="G22" s="1108"/>
      <c r="H22" s="1109"/>
      <c r="I22"/>
      <c r="Q22" s="1107" t="s">
        <v>1071</v>
      </c>
      <c r="R22" s="1108"/>
      <c r="S22" s="1108"/>
      <c r="T22" s="1108"/>
      <c r="U22" s="1108"/>
      <c r="V22" s="1108"/>
      <c r="W22" s="1109"/>
      <c r="X22"/>
      <c r="AF22" s="1107" t="s">
        <v>1075</v>
      </c>
      <c r="AG22" s="1108"/>
      <c r="AH22" s="1108"/>
      <c r="AI22" s="1108"/>
      <c r="AJ22" s="1108"/>
      <c r="AK22" s="1108"/>
      <c r="AL22" s="1109"/>
      <c r="AM22" s="673"/>
      <c r="AN22" s="673"/>
      <c r="AO22" s="673"/>
      <c r="AP22" s="673"/>
      <c r="AQ22" s="673"/>
    </row>
    <row r="23" spans="1:46" s="5" customFormat="1" ht="79.900000000000006" customHeight="1" x14ac:dyDescent="0.25">
      <c r="B23" s="1110" t="s">
        <v>977</v>
      </c>
      <c r="C23" s="1111"/>
      <c r="D23" s="1116" t="s">
        <v>951</v>
      </c>
      <c r="E23" s="1117"/>
      <c r="F23" s="1117"/>
      <c r="G23" s="1117"/>
      <c r="H23" s="1118"/>
      <c r="I23"/>
      <c r="Q23" s="1110" t="s">
        <v>977</v>
      </c>
      <c r="R23" s="1111"/>
      <c r="S23" s="1116" t="s">
        <v>951</v>
      </c>
      <c r="T23" s="1117"/>
      <c r="U23" s="1117"/>
      <c r="V23" s="1117"/>
      <c r="W23" s="1118"/>
      <c r="X23"/>
      <c r="AF23" s="1110" t="s">
        <v>977</v>
      </c>
      <c r="AG23" s="1111"/>
      <c r="AH23" s="1116" t="s">
        <v>951</v>
      </c>
      <c r="AI23" s="1117"/>
      <c r="AJ23" s="1117"/>
      <c r="AK23" s="1117"/>
      <c r="AL23" s="1118"/>
      <c r="AM23" s="675"/>
      <c r="AN23" s="675"/>
      <c r="AO23" s="675"/>
      <c r="AP23" s="675"/>
      <c r="AQ23" s="675"/>
    </row>
    <row r="24" spans="1:46" s="5" customFormat="1" ht="79.900000000000006" customHeight="1" x14ac:dyDescent="0.25">
      <c r="B24" s="1112"/>
      <c r="C24" s="1113"/>
      <c r="D24" s="1121" t="s">
        <v>246</v>
      </c>
      <c r="E24" s="1121" t="s">
        <v>244</v>
      </c>
      <c r="F24" s="1121" t="s">
        <v>86</v>
      </c>
      <c r="G24" s="1121" t="s">
        <v>242</v>
      </c>
      <c r="H24" s="1123" t="s">
        <v>172</v>
      </c>
      <c r="I24"/>
      <c r="Q24" s="1112"/>
      <c r="R24" s="1113"/>
      <c r="S24" s="1121" t="s">
        <v>246</v>
      </c>
      <c r="T24" s="1121" t="s">
        <v>244</v>
      </c>
      <c r="U24" s="1121" t="s">
        <v>86</v>
      </c>
      <c r="V24" s="1121" t="s">
        <v>242</v>
      </c>
      <c r="W24" s="1123" t="s">
        <v>172</v>
      </c>
      <c r="X24"/>
      <c r="AF24" s="1112"/>
      <c r="AG24" s="1113"/>
      <c r="AH24" s="668" t="s">
        <v>246</v>
      </c>
      <c r="AI24" s="668" t="s">
        <v>244</v>
      </c>
      <c r="AJ24" s="668" t="s">
        <v>86</v>
      </c>
      <c r="AK24" s="668" t="s">
        <v>242</v>
      </c>
      <c r="AL24" s="677" t="s">
        <v>172</v>
      </c>
      <c r="AM24" s="672"/>
      <c r="AN24" s="672"/>
      <c r="AO24" s="672"/>
      <c r="AP24" s="672"/>
      <c r="AQ24" s="672"/>
    </row>
    <row r="25" spans="1:46" s="5" customFormat="1" ht="79.900000000000006" customHeight="1" x14ac:dyDescent="0.25">
      <c r="B25" s="1114"/>
      <c r="C25" s="1115"/>
      <c r="D25" s="1122"/>
      <c r="E25" s="1122"/>
      <c r="F25" s="1122"/>
      <c r="G25" s="1122"/>
      <c r="H25" s="1124"/>
      <c r="I25"/>
      <c r="Q25" s="1114"/>
      <c r="R25" s="1115"/>
      <c r="S25" s="1122"/>
      <c r="T25" s="1122"/>
      <c r="U25" s="1122"/>
      <c r="V25" s="1122"/>
      <c r="W25" s="1124"/>
      <c r="X25"/>
      <c r="AF25" s="1114"/>
      <c r="AG25" s="1115"/>
      <c r="AH25" s="179"/>
      <c r="AI25" s="179"/>
      <c r="AJ25" s="179"/>
      <c r="AK25" s="179"/>
      <c r="AL25" s="180"/>
      <c r="AM25" s="676"/>
      <c r="AN25" s="676"/>
      <c r="AO25" s="676"/>
      <c r="AP25" s="676"/>
      <c r="AQ25" s="676"/>
    </row>
    <row r="26" spans="1:46" s="5" customFormat="1" ht="199.9" customHeight="1" x14ac:dyDescent="0.25">
      <c r="B26" s="1104" t="s">
        <v>952</v>
      </c>
      <c r="C26" s="149" t="s">
        <v>246</v>
      </c>
      <c r="D26" s="143" cm="1">
        <f t="array" ref="D26">SUMPRODUCT(ISNUMBER(SEARCH('16 Water Heating Costs'!$E$42:$AE$42,'16 Water Heating Costs'!F10)) *'16 Water Heating Costs'!$E$50:$AE$50)</f>
        <v>0</v>
      </c>
      <c r="E26" s="143" cm="1">
        <f t="array" ref="E26">SUMPRODUCT(ISNUMBER(SEARCH('16 Water Heating Costs'!$E$42:$AE$42,'16 Water Heating Costs'!G10)) *'16 Water Heating Costs'!$E$50:$AE$50)</f>
        <v>963.47164459196733</v>
      </c>
      <c r="F26" s="143" cm="1">
        <f t="array" ref="F26">SUMPRODUCT(ISNUMBER(SEARCH('16 Water Heating Costs'!$E$42:$AE$42,'16 Water Heating Costs'!H10)) *'16 Water Heating Costs'!$E$50:$AE$50)</f>
        <v>963.47164459196733</v>
      </c>
      <c r="G26" s="143" cm="1">
        <f t="array" ref="G26">SUMPRODUCT(ISNUMBER(SEARCH('16 Water Heating Costs'!$E$42:$AE$42,'16 Water Heating Costs'!I10)) *'16 Water Heating Costs'!$E$50:$AE$50)</f>
        <v>963.47164459196733</v>
      </c>
      <c r="H26" s="150" cm="1">
        <f t="array" ref="H26">SUMPRODUCT(ISNUMBER(SEARCH('16 Water Heating Costs'!$E$42:$AE$42,'16 Water Heating Costs'!J10)) *'16 Water Heating Costs'!$E$50:$AE$50)</f>
        <v>777.24587310345714</v>
      </c>
      <c r="I26"/>
      <c r="Q26" s="1104" t="s">
        <v>952</v>
      </c>
      <c r="R26" s="149" t="s">
        <v>246</v>
      </c>
      <c r="S26" s="143" cm="1">
        <f t="array" ref="S26">SUMPRODUCT(ISNUMBER(SEARCH('16 Water Heating Costs'!$E$42:$AE$42,'16 Water Heating Costs'!N10)) *'16 Water Heating Costs'!$E$50:$AE$50)</f>
        <v>0</v>
      </c>
      <c r="T26" s="143" cm="1">
        <f t="array" ref="T26">SUMPRODUCT(ISNUMBER(SEARCH('16 Water Heating Costs'!$E$42:$AE$42,'16 Water Heating Costs'!O10)) *'16 Water Heating Costs'!$E$50:$AE$50)</f>
        <v>963.47164459196733</v>
      </c>
      <c r="U26" s="143" cm="1">
        <f t="array" ref="U26">SUMPRODUCT(ISNUMBER(SEARCH('16 Water Heating Costs'!$E$42:$AE$42,'16 Water Heating Costs'!P10)) *'16 Water Heating Costs'!$E$50:$AE$50)</f>
        <v>963.47164459196733</v>
      </c>
      <c r="V26" s="143" cm="1">
        <f t="array" ref="V26">SUMPRODUCT(ISNUMBER(SEARCH('16 Water Heating Costs'!$E$42:$AE$42,'16 Water Heating Costs'!Q10)) *'16 Water Heating Costs'!$E$50:$AE$50)</f>
        <v>963.47164459196733</v>
      </c>
      <c r="W26" s="150" cm="1">
        <f t="array" ref="W26">SUMPRODUCT(ISNUMBER(SEARCH('16 Water Heating Costs'!$E$42:$AE$42,'16 Water Heating Costs'!R10)) *'16 Water Heating Costs'!$E$50:$AE$50)</f>
        <v>777.24587310345714</v>
      </c>
      <c r="X26"/>
      <c r="AF26" s="1104" t="s">
        <v>952</v>
      </c>
      <c r="AG26" s="149" t="s">
        <v>246</v>
      </c>
      <c r="AH26" s="143" cm="1">
        <f t="array" ref="AH26">SUMPRODUCT(ISNUMBER(SEARCH('16 Water Heating Costs'!$E$42:$AE$42,'16 Water Heating Costs'!V10)) *'16 Water Heating Costs'!$E$50:$AE$50)</f>
        <v>0</v>
      </c>
      <c r="AI26" s="143" cm="1">
        <f t="array" ref="AI26">SUMPRODUCT(ISNUMBER(SEARCH('16 Water Heating Costs'!$E$42:$AE$42,'16 Water Heating Costs'!W10)) *'16 Water Heating Costs'!$E$50:$AE$50)</f>
        <v>963.47164459196733</v>
      </c>
      <c r="AJ26" s="143" cm="1">
        <f t="array" ref="AJ26">SUMPRODUCT(ISNUMBER(SEARCH('16 Water Heating Costs'!$E$42:$AE$42,'16 Water Heating Costs'!X10)) *'16 Water Heating Costs'!$E$50:$AE$50)</f>
        <v>963.47164459196733</v>
      </c>
      <c r="AK26" s="143" cm="1">
        <f t="array" ref="AK26">SUMPRODUCT(ISNUMBER(SEARCH('16 Water Heating Costs'!$E$42:$AE$42,'16 Water Heating Costs'!Y10)) *'16 Water Heating Costs'!$E$50:$AE$50)</f>
        <v>963.47164459196733</v>
      </c>
      <c r="AL26" s="150" cm="1">
        <f t="array" ref="AL26">SUMPRODUCT(ISNUMBER(SEARCH('16 Water Heating Costs'!$E$42:$AE$42,'16 Water Heating Costs'!Z10)) *'16 Water Heating Costs'!$E$50:$AE$50)</f>
        <v>777.24587310345714</v>
      </c>
      <c r="AM26" s="681"/>
      <c r="AN26" s="681"/>
      <c r="AO26" s="681"/>
      <c r="AP26" s="681"/>
      <c r="AQ26" s="681"/>
    </row>
    <row r="27" spans="1:46" s="5" customFormat="1" ht="199.9" customHeight="1" x14ac:dyDescent="0.25">
      <c r="B27" s="1105"/>
      <c r="C27" s="152" t="s">
        <v>244</v>
      </c>
      <c r="D27" s="142"/>
      <c r="E27" s="142"/>
      <c r="F27" s="142"/>
      <c r="G27" s="142"/>
      <c r="H27" s="144"/>
      <c r="I27"/>
      <c r="Q27" s="1105"/>
      <c r="R27" s="152" t="s">
        <v>244</v>
      </c>
      <c r="S27" s="142"/>
      <c r="T27" s="142"/>
      <c r="U27" s="142"/>
      <c r="V27" s="142"/>
      <c r="W27" s="144"/>
      <c r="X27"/>
      <c r="AF27" s="1119"/>
      <c r="AG27" s="152" t="s">
        <v>244</v>
      </c>
      <c r="AH27" s="142"/>
      <c r="AI27" s="142"/>
      <c r="AJ27" s="142"/>
      <c r="AK27" s="142"/>
      <c r="AL27" s="144"/>
      <c r="AM27" s="681"/>
      <c r="AN27" s="681"/>
      <c r="AO27" s="681"/>
      <c r="AP27" s="681"/>
      <c r="AQ27" s="681"/>
    </row>
    <row r="28" spans="1:46" s="5" customFormat="1" ht="199.9" customHeight="1" x14ac:dyDescent="0.25">
      <c r="B28" s="1105"/>
      <c r="C28" s="152" t="s">
        <v>86</v>
      </c>
      <c r="D28" s="143" cm="1">
        <f t="array" ref="D28">SUMPRODUCT(ISNUMBER(SEARCH('16 Water Heating Costs'!$E$42:$AE$42,'16 Water Heating Costs'!F12)) *'16 Water Heating Costs'!$E$50:$AE$50)</f>
        <v>3261.2375548030695</v>
      </c>
      <c r="E28" s="143" cm="1">
        <f t="array" ref="E28">SUMPRODUCT(ISNUMBER(SEARCH('16 Water Heating Costs'!$E$42:$AE$42,'16 Water Heating Costs'!G12)) *'16 Water Heating Costs'!$E$50:$AE$50)</f>
        <v>2804.1112813166919</v>
      </c>
      <c r="F28" s="143" cm="1">
        <f t="array" ref="F28">SUMPRODUCT(ISNUMBER(SEARCH('16 Water Heating Costs'!$E$42:$AE$42,'16 Water Heating Costs'!H12)) *'16 Water Heating Costs'!$E$50:$AE$50)</f>
        <v>1917.6445953403972</v>
      </c>
      <c r="G28" s="143" cm="1">
        <f t="array" ref="G28">SUMPRODUCT(ISNUMBER(SEARCH('16 Water Heating Costs'!$E$42:$AE$42,'16 Water Heating Costs'!I12)) *'16 Water Heating Costs'!$E$50:$AE$50)</f>
        <v>2804.1112813166919</v>
      </c>
      <c r="H28" s="150" cm="1">
        <f t="array" ref="H28">SUMPRODUCT(ISNUMBER(SEARCH('16 Water Heating Costs'!$E$42:$AE$42,'16 Water Heating Costs'!J12)) *'16 Water Heating Costs'!$E$50:$AE$50)</f>
        <v>3261.2375548030695</v>
      </c>
      <c r="I28"/>
      <c r="Q28" s="1105"/>
      <c r="R28" s="152" t="s">
        <v>86</v>
      </c>
      <c r="S28" s="143" cm="1">
        <f t="array" ref="S28">SUMPRODUCT(ISNUMBER(SEARCH('16 Water Heating Costs'!$E$42:$AE$42,'16 Water Heating Costs'!N12)) *'16 Water Heating Costs'!$E$50:$AE$50)</f>
        <v>3950.0899768922354</v>
      </c>
      <c r="T28" s="143" cm="1">
        <f t="array" ref="T28">SUMPRODUCT(ISNUMBER(SEARCH('16 Water Heating Costs'!$E$42:$AE$42,'16 Water Heating Costs'!O12)) *'16 Water Heating Costs'!$E$50:$AE$50)</f>
        <v>3492.9637034058578</v>
      </c>
      <c r="U28" s="143" cm="1">
        <f t="array" ref="U28">SUMPRODUCT(ISNUMBER(SEARCH('16 Water Heating Costs'!$E$42:$AE$42,'16 Water Heating Costs'!P12)) *'16 Water Heating Costs'!$E$50:$AE$50)</f>
        <v>2606.4970174295631</v>
      </c>
      <c r="V28" s="143" cm="1">
        <f t="array" ref="V28">SUMPRODUCT(ISNUMBER(SEARCH('16 Water Heating Costs'!$E$42:$AE$42,'16 Water Heating Costs'!Q12)) *'16 Water Heating Costs'!$E$50:$AE$50)</f>
        <v>3492.9637034058578</v>
      </c>
      <c r="W28" s="150" cm="1">
        <f t="array" ref="W28">SUMPRODUCT(ISNUMBER(SEARCH('16 Water Heating Costs'!$E$42:$AE$42,'16 Water Heating Costs'!R12)) *'16 Water Heating Costs'!$E$50:$AE$50)</f>
        <v>3950.0899768922354</v>
      </c>
      <c r="X28"/>
      <c r="AF28" s="1119"/>
      <c r="AG28" s="152" t="s">
        <v>86</v>
      </c>
      <c r="AH28" s="143" cm="1">
        <f t="array" ref="AH28">SUMPRODUCT(ISNUMBER(SEARCH('16 Water Heating Costs'!$E$42:$AE$42,'16 Water Heating Costs'!V12)) *'16 Water Heating Costs'!$E$50:$AE$50)</f>
        <v>2926.9904869486841</v>
      </c>
      <c r="AI28" s="143" cm="1">
        <f t="array" ref="AI28">SUMPRODUCT(ISNUMBER(SEARCH('16 Water Heating Costs'!$E$42:$AE$42,'16 Water Heating Costs'!W12)) *'16 Water Heating Costs'!$E$50:$AE$50)</f>
        <v>2469.864213462306</v>
      </c>
      <c r="AJ28" s="143" cm="1">
        <f t="array" ref="AJ28">SUMPRODUCT(ISNUMBER(SEARCH('16 Water Heating Costs'!$E$42:$AE$42,'16 Water Heating Costs'!X12)) *'16 Water Heating Costs'!$E$50:$AE$50)</f>
        <v>1583.3975274860115</v>
      </c>
      <c r="AK28" s="143" cm="1">
        <f t="array" ref="AK28">SUMPRODUCT(ISNUMBER(SEARCH('16 Water Heating Costs'!$E$42:$AE$42,'16 Water Heating Costs'!Y12)) *'16 Water Heating Costs'!$E$50:$AE$50)</f>
        <v>2469.864213462306</v>
      </c>
      <c r="AL28" s="150" cm="1">
        <f t="array" ref="AL28">SUMPRODUCT(ISNUMBER(SEARCH('16 Water Heating Costs'!$E$42:$AE$42,'16 Water Heating Costs'!Z12)) *'16 Water Heating Costs'!$E$50:$AE$50)</f>
        <v>2926.9904869486841</v>
      </c>
      <c r="AM28" s="681"/>
      <c r="AN28" s="681"/>
      <c r="AO28" s="681"/>
      <c r="AP28" s="681"/>
      <c r="AQ28" s="681"/>
    </row>
    <row r="29" spans="1:46" s="5" customFormat="1" ht="199.9" customHeight="1" x14ac:dyDescent="0.25">
      <c r="B29" s="1105"/>
      <c r="C29" s="152" t="s">
        <v>242</v>
      </c>
      <c r="D29" s="143" cm="1">
        <f t="array" ref="D29">SUMPRODUCT(ISNUMBER(SEARCH('16 Water Heating Costs'!$E$42:$AE$42,'16 Water Heating Costs'!F13)) *'16 Water Heating Costs'!$E$50:$AE$50)</f>
        <v>3261.2375548030695</v>
      </c>
      <c r="E29" s="143" cm="1">
        <f t="array" ref="E29">SUMPRODUCT(ISNUMBER(SEARCH('16 Water Heating Costs'!$E$42:$AE$42,'16 Water Heating Costs'!G13)) *'16 Water Heating Costs'!$E$50:$AE$50)</f>
        <v>2804.1112813166919</v>
      </c>
      <c r="F29" s="143" cm="1">
        <f t="array" ref="F29">SUMPRODUCT(ISNUMBER(SEARCH('16 Water Heating Costs'!$E$42:$AE$42,'16 Water Heating Costs'!H13)) *'16 Water Heating Costs'!$E$50:$AE$50)</f>
        <v>2804.1112813166919</v>
      </c>
      <c r="G29" s="143" cm="1">
        <f t="array" ref="G29">SUMPRODUCT(ISNUMBER(SEARCH('16 Water Heating Costs'!$E$42:$AE$42,'16 Water Heating Costs'!I13)) *'16 Water Heating Costs'!$E$50:$AE$50)</f>
        <v>1917.6445953403972</v>
      </c>
      <c r="H29" s="150" cm="1">
        <f t="array" ref="H29">SUMPRODUCT(ISNUMBER(SEARCH('16 Water Heating Costs'!$E$42:$AE$42,'16 Water Heating Costs'!J13)) *'16 Water Heating Costs'!$E$50:$AE$50)</f>
        <v>3261.2375548030695</v>
      </c>
      <c r="I29"/>
      <c r="Q29" s="1105"/>
      <c r="R29" s="152" t="s">
        <v>242</v>
      </c>
      <c r="S29" s="143" cm="1">
        <f t="array" ref="S29">SUMPRODUCT(ISNUMBER(SEARCH('16 Water Heating Costs'!$E$42:$AE$42,'16 Water Heating Costs'!N13)) *'16 Water Heating Costs'!$E$50:$AE$50)</f>
        <v>3950.0899768922354</v>
      </c>
      <c r="T29" s="143" cm="1">
        <f t="array" ref="T29">SUMPRODUCT(ISNUMBER(SEARCH('16 Water Heating Costs'!$E$42:$AE$42,'16 Water Heating Costs'!O13)) *'16 Water Heating Costs'!$E$50:$AE$50)</f>
        <v>3492.9637034058578</v>
      </c>
      <c r="U29" s="143" cm="1">
        <f t="array" ref="U29">SUMPRODUCT(ISNUMBER(SEARCH('16 Water Heating Costs'!$E$42:$AE$42,'16 Water Heating Costs'!P13)) *'16 Water Heating Costs'!$E$50:$AE$50)</f>
        <v>3492.9637034058578</v>
      </c>
      <c r="V29" s="143" cm="1">
        <f t="array" ref="V29">SUMPRODUCT(ISNUMBER(SEARCH('16 Water Heating Costs'!$E$42:$AE$42,'16 Water Heating Costs'!Q13)) *'16 Water Heating Costs'!$E$50:$AE$50)</f>
        <v>2606.4970174295631</v>
      </c>
      <c r="W29" s="150" cm="1">
        <f t="array" ref="W29">SUMPRODUCT(ISNUMBER(SEARCH('16 Water Heating Costs'!$E$42:$AE$42,'16 Water Heating Costs'!R13)) *'16 Water Heating Costs'!$E$50:$AE$50)</f>
        <v>3950.0899768922354</v>
      </c>
      <c r="X29"/>
      <c r="AF29" s="1119"/>
      <c r="AG29" s="152" t="s">
        <v>242</v>
      </c>
      <c r="AH29" s="143" cm="1">
        <f t="array" ref="AH29">SUMPRODUCT(ISNUMBER(SEARCH('16 Water Heating Costs'!$E$42:$AE$42,'16 Water Heating Costs'!V13)) *'16 Water Heating Costs'!$E$50:$AE$50)</f>
        <v>2926.9904869486841</v>
      </c>
      <c r="AI29" s="143" cm="1">
        <f t="array" ref="AI29">SUMPRODUCT(ISNUMBER(SEARCH('16 Water Heating Costs'!$E$42:$AE$42,'16 Water Heating Costs'!W13)) *'16 Water Heating Costs'!$E$50:$AE$50)</f>
        <v>2469.864213462306</v>
      </c>
      <c r="AJ29" s="143" cm="1">
        <f t="array" ref="AJ29">SUMPRODUCT(ISNUMBER(SEARCH('16 Water Heating Costs'!$E$42:$AE$42,'16 Water Heating Costs'!X13)) *'16 Water Heating Costs'!$E$50:$AE$50)</f>
        <v>2469.864213462306</v>
      </c>
      <c r="AK29" s="143" cm="1">
        <f t="array" ref="AK29">SUMPRODUCT(ISNUMBER(SEARCH('16 Water Heating Costs'!$E$42:$AE$42,'16 Water Heating Costs'!Y13)) *'16 Water Heating Costs'!$E$50:$AE$50)</f>
        <v>1583.3975274860115</v>
      </c>
      <c r="AL29" s="150" cm="1">
        <f t="array" ref="AL29">SUMPRODUCT(ISNUMBER(SEARCH('16 Water Heating Costs'!$E$42:$AE$42,'16 Water Heating Costs'!Z13)) *'16 Water Heating Costs'!$E$50:$AE$50)</f>
        <v>2926.9904869486841</v>
      </c>
      <c r="AM29" s="681"/>
      <c r="AN29" s="681"/>
      <c r="AO29" s="681"/>
      <c r="AP29" s="681"/>
      <c r="AQ29" s="681"/>
    </row>
    <row r="30" spans="1:46" s="5" customFormat="1" ht="199.9" customHeight="1" thickBot="1" x14ac:dyDescent="0.3">
      <c r="B30" s="1106"/>
      <c r="C30" s="153" t="s">
        <v>172</v>
      </c>
      <c r="D30" s="145"/>
      <c r="E30" s="145"/>
      <c r="F30" s="145"/>
      <c r="G30" s="145"/>
      <c r="H30" s="426"/>
      <c r="I30"/>
      <c r="Q30" s="1106"/>
      <c r="R30" s="153" t="s">
        <v>172</v>
      </c>
      <c r="S30" s="145"/>
      <c r="T30" s="145"/>
      <c r="U30" s="145"/>
      <c r="V30" s="145"/>
      <c r="W30" s="426"/>
      <c r="X30"/>
      <c r="AF30" s="1120"/>
      <c r="AG30" s="153" t="s">
        <v>172</v>
      </c>
      <c r="AH30" s="145"/>
      <c r="AI30" s="145"/>
      <c r="AJ30" s="145"/>
      <c r="AK30" s="145"/>
      <c r="AL30" s="426"/>
      <c r="AM30" s="681"/>
      <c r="AN30" s="681"/>
      <c r="AO30" s="681"/>
      <c r="AP30" s="681"/>
      <c r="AQ30" s="681"/>
    </row>
    <row r="31" spans="1:46" s="59" customFormat="1" ht="80.099999999999994" customHeight="1" thickBot="1" x14ac:dyDescent="0.3">
      <c r="A31" s="154"/>
      <c r="B31"/>
      <c r="C31"/>
      <c r="D31"/>
      <c r="E31"/>
      <c r="F31"/>
      <c r="G31"/>
      <c r="H31"/>
      <c r="I31"/>
      <c r="J31" s="5"/>
      <c r="K31" s="5"/>
      <c r="L31" s="5"/>
      <c r="M31" s="5"/>
      <c r="N31" s="5"/>
      <c r="O31" s="5"/>
      <c r="P31" s="5"/>
      <c r="Q31"/>
      <c r="R31"/>
      <c r="S31"/>
      <c r="T31"/>
      <c r="U31"/>
      <c r="V31"/>
      <c r="W31"/>
      <c r="X31"/>
      <c r="Y31" s="5"/>
      <c r="Z31" s="5"/>
      <c r="AA31" s="5"/>
      <c r="AB31" s="5"/>
      <c r="AC31" s="5"/>
      <c r="AD31" s="5"/>
      <c r="AE31" s="5"/>
      <c r="AF31"/>
      <c r="AG31"/>
      <c r="AH31"/>
      <c r="AI31"/>
      <c r="AJ31"/>
      <c r="AK31"/>
      <c r="AL31"/>
    </row>
    <row r="32" spans="1:46" ht="175.15" customHeight="1" x14ac:dyDescent="0.25">
      <c r="A32" s="60"/>
      <c r="B32" s="1107" t="s">
        <v>1073</v>
      </c>
      <c r="C32" s="1108"/>
      <c r="D32" s="1108"/>
      <c r="E32" s="1108"/>
      <c r="F32" s="1108"/>
      <c r="G32" s="1108"/>
      <c r="H32" s="1109"/>
      <c r="I32"/>
      <c r="P32" s="5"/>
      <c r="Q32" s="1107" t="s">
        <v>1072</v>
      </c>
      <c r="R32" s="1108"/>
      <c r="S32" s="1108"/>
      <c r="T32" s="1108"/>
      <c r="U32" s="1108"/>
      <c r="V32" s="1108"/>
      <c r="W32" s="1109"/>
      <c r="X32"/>
      <c r="Y32" s="5"/>
      <c r="Z32" s="5"/>
      <c r="AA32" s="5"/>
      <c r="AB32" s="5"/>
      <c r="AC32" s="5"/>
      <c r="AD32" s="5"/>
      <c r="AE32" s="5"/>
      <c r="AF32" s="1107" t="s">
        <v>1076</v>
      </c>
      <c r="AG32" s="1108"/>
      <c r="AH32" s="1108"/>
      <c r="AI32" s="1108"/>
      <c r="AJ32" s="1108"/>
      <c r="AK32" s="1108"/>
      <c r="AL32" s="1109"/>
    </row>
    <row r="33" spans="1:38" ht="79.900000000000006" customHeight="1" x14ac:dyDescent="0.25">
      <c r="A33" s="60"/>
      <c r="B33" s="1110" t="s">
        <v>977</v>
      </c>
      <c r="C33" s="1111"/>
      <c r="D33" s="1116" t="s">
        <v>951</v>
      </c>
      <c r="E33" s="1117"/>
      <c r="F33" s="1117"/>
      <c r="G33" s="1117"/>
      <c r="H33" s="1118"/>
      <c r="I33"/>
      <c r="P33" s="5"/>
      <c r="Q33" s="1110" t="s">
        <v>977</v>
      </c>
      <c r="R33" s="1111"/>
      <c r="S33" s="1116" t="s">
        <v>951</v>
      </c>
      <c r="T33" s="1117"/>
      <c r="U33" s="1117"/>
      <c r="V33" s="1117"/>
      <c r="W33" s="1118"/>
      <c r="X33"/>
      <c r="Y33" s="5"/>
      <c r="Z33" s="5"/>
      <c r="AA33" s="5"/>
      <c r="AB33" s="5"/>
      <c r="AC33" s="5"/>
      <c r="AD33" s="5"/>
      <c r="AE33" s="5"/>
      <c r="AF33" s="1110" t="s">
        <v>977</v>
      </c>
      <c r="AG33" s="1111"/>
      <c r="AH33" s="1116" t="s">
        <v>951</v>
      </c>
      <c r="AI33" s="1117"/>
      <c r="AJ33" s="1117"/>
      <c r="AK33" s="1117"/>
      <c r="AL33" s="1118"/>
    </row>
    <row r="34" spans="1:38" ht="79.900000000000006" customHeight="1" x14ac:dyDescent="0.25">
      <c r="A34" s="60"/>
      <c r="B34" s="1112"/>
      <c r="C34" s="1113"/>
      <c r="D34" s="1121" t="s">
        <v>246</v>
      </c>
      <c r="E34" s="1121" t="s">
        <v>244</v>
      </c>
      <c r="F34" s="1121" t="s">
        <v>86</v>
      </c>
      <c r="G34" s="1121" t="s">
        <v>242</v>
      </c>
      <c r="H34" s="1123" t="s">
        <v>172</v>
      </c>
      <c r="I34"/>
      <c r="P34" s="5"/>
      <c r="Q34" s="1112"/>
      <c r="R34" s="1113"/>
      <c r="S34" s="1121" t="s">
        <v>246</v>
      </c>
      <c r="T34" s="1121" t="s">
        <v>244</v>
      </c>
      <c r="U34" s="1121" t="s">
        <v>86</v>
      </c>
      <c r="V34" s="1121" t="s">
        <v>242</v>
      </c>
      <c r="W34" s="1123" t="s">
        <v>172</v>
      </c>
      <c r="X34"/>
      <c r="Y34" s="5"/>
      <c r="Z34" s="5"/>
      <c r="AA34" s="5"/>
      <c r="AB34" s="5"/>
      <c r="AC34" s="5"/>
      <c r="AD34" s="5"/>
      <c r="AE34" s="5"/>
      <c r="AF34" s="1112"/>
      <c r="AG34" s="1113"/>
      <c r="AH34" s="668" t="s">
        <v>246</v>
      </c>
      <c r="AI34" s="668" t="s">
        <v>244</v>
      </c>
      <c r="AJ34" s="668" t="s">
        <v>86</v>
      </c>
      <c r="AK34" s="668" t="s">
        <v>242</v>
      </c>
      <c r="AL34" s="677" t="s">
        <v>172</v>
      </c>
    </row>
    <row r="35" spans="1:38" ht="79.900000000000006" customHeight="1" x14ac:dyDescent="0.25">
      <c r="A35" s="60"/>
      <c r="B35" s="1114"/>
      <c r="C35" s="1115"/>
      <c r="D35" s="1122"/>
      <c r="E35" s="1122"/>
      <c r="F35" s="1122"/>
      <c r="G35" s="1122"/>
      <c r="H35" s="1124"/>
      <c r="I35"/>
      <c r="P35" s="5"/>
      <c r="Q35" s="1114"/>
      <c r="R35" s="1115"/>
      <c r="S35" s="1122"/>
      <c r="T35" s="1122"/>
      <c r="U35" s="1122"/>
      <c r="V35" s="1122"/>
      <c r="W35" s="1124"/>
      <c r="X35"/>
      <c r="Y35" s="5"/>
      <c r="Z35" s="5"/>
      <c r="AA35" s="5"/>
      <c r="AB35" s="5"/>
      <c r="AC35" s="5"/>
      <c r="AD35" s="5"/>
      <c r="AE35" s="5"/>
      <c r="AF35" s="1114"/>
      <c r="AG35" s="1115"/>
      <c r="AH35" s="179"/>
      <c r="AI35" s="179"/>
      <c r="AJ35" s="179"/>
      <c r="AK35" s="179"/>
      <c r="AL35" s="180"/>
    </row>
    <row r="36" spans="1:38" ht="199.9" customHeight="1" x14ac:dyDescent="0.25">
      <c r="A36" s="60"/>
      <c r="B36" s="1104" t="s">
        <v>989</v>
      </c>
      <c r="C36" s="149" t="s">
        <v>246</v>
      </c>
      <c r="D36" s="142"/>
      <c r="E36" s="143" cm="1">
        <f t="array" ref="E36">SUMPRODUCT(ISNUMBER(SEARCH('16 Water Heating Costs'!$E$42:$AE$42,'16 Water Heating Costs'!G22)) *'16 Water Heating Costs'!$E$50:$AE$50)</f>
        <v>963.47164459196733</v>
      </c>
      <c r="F36" s="143" cm="1">
        <f t="array" ref="F36">SUMPRODUCT(ISNUMBER(SEARCH('16 Water Heating Costs'!$E$42:$AE$42,'16 Water Heating Costs'!H22)) *'16 Water Heating Costs'!$E$50:$AE$50)</f>
        <v>963.47164459196733</v>
      </c>
      <c r="G36" s="143" cm="1">
        <f t="array" ref="G36">SUMPRODUCT(ISNUMBER(SEARCH('16 Water Heating Costs'!$E$42:$AE$42,'16 Water Heating Costs'!I22)) *'16 Water Heating Costs'!$E$50:$AE$50)</f>
        <v>963.47164459196733</v>
      </c>
      <c r="H36" s="150" cm="1">
        <f t="array" ref="H36">SUMPRODUCT(ISNUMBER(SEARCH('16 Water Heating Costs'!$E$42:$AE$42,'16 Water Heating Costs'!J22)) *'16 Water Heating Costs'!$E$50:$AE$50)</f>
        <v>777.24587310345714</v>
      </c>
      <c r="I36"/>
      <c r="P36" s="5"/>
      <c r="Q36" s="1104" t="s">
        <v>989</v>
      </c>
      <c r="R36" s="149" t="s">
        <v>246</v>
      </c>
      <c r="S36" s="142"/>
      <c r="T36" s="143" cm="1">
        <f t="array" ref="T36">SUMPRODUCT(ISNUMBER(SEARCH('16 Water Heating Costs'!$E$42:$AE$42,'16 Water Heating Costs'!O22)) *'16 Water Heating Costs'!$E$50:$AE$50)</f>
        <v>963.47164459196733</v>
      </c>
      <c r="U36" s="143" cm="1">
        <f t="array" ref="U36">SUMPRODUCT(ISNUMBER(SEARCH('16 Water Heating Costs'!$E$42:$AE$42,'16 Water Heating Costs'!P22)) *'16 Water Heating Costs'!$E$50:$AE$50)</f>
        <v>963.47164459196733</v>
      </c>
      <c r="V36" s="143" cm="1">
        <f t="array" ref="V36">SUMPRODUCT(ISNUMBER(SEARCH('16 Water Heating Costs'!$E$42:$AE$42,'16 Water Heating Costs'!Q22)) *'16 Water Heating Costs'!$E$50:$AE$50)</f>
        <v>963.47164459196733</v>
      </c>
      <c r="W36" s="150" cm="1">
        <f t="array" ref="W36">SUMPRODUCT(ISNUMBER(SEARCH('16 Water Heating Costs'!$E$42:$AE$42,'16 Water Heating Costs'!R22)) *'16 Water Heating Costs'!$E$50:$AE$50)</f>
        <v>777.24587310345714</v>
      </c>
      <c r="X36"/>
      <c r="Y36" s="5"/>
      <c r="Z36" s="5"/>
      <c r="AA36" s="5"/>
      <c r="AB36" s="5"/>
      <c r="AC36" s="5"/>
      <c r="AD36" s="5"/>
      <c r="AE36" s="5"/>
      <c r="AF36" s="1104" t="s">
        <v>989</v>
      </c>
      <c r="AG36" s="149" t="s">
        <v>246</v>
      </c>
      <c r="AH36" s="142"/>
      <c r="AI36" s="143" cm="1">
        <f t="array" ref="AI36">SUMPRODUCT(ISNUMBER(SEARCH('16 Water Heating Costs'!$E$42:$AE$42,'16 Water Heating Costs'!W22)) *'16 Water Heating Costs'!$E$50:$AE$50)</f>
        <v>963.47164459196733</v>
      </c>
      <c r="AJ36" s="143" cm="1">
        <f t="array" ref="AJ36">SUMPRODUCT(ISNUMBER(SEARCH('16 Water Heating Costs'!$E$42:$AE$42,'16 Water Heating Costs'!X22)) *'16 Water Heating Costs'!$E$50:$AE$50)</f>
        <v>963.47164459196733</v>
      </c>
      <c r="AK36" s="143" cm="1">
        <f t="array" ref="AK36">SUMPRODUCT(ISNUMBER(SEARCH('16 Water Heating Costs'!$E$42:$AE$42,'16 Water Heating Costs'!Y22)) *'16 Water Heating Costs'!$E$50:$AE$50)</f>
        <v>963.47164459196733</v>
      </c>
      <c r="AL36" s="150" cm="1">
        <f t="array" ref="AL36">SUMPRODUCT(ISNUMBER(SEARCH('16 Water Heating Costs'!$E$42:$AE$42,'16 Water Heating Costs'!Z22)) *'16 Water Heating Costs'!$E$50:$AE$50)</f>
        <v>777.24587310345714</v>
      </c>
    </row>
    <row r="37" spans="1:38" ht="199.9" customHeight="1" x14ac:dyDescent="0.25">
      <c r="A37" s="60"/>
      <c r="B37" s="1105"/>
      <c r="C37" s="152" t="s">
        <v>244</v>
      </c>
      <c r="D37" s="143" cm="1">
        <f t="array" ref="D37">SUMPRODUCT(ISNUMBER(SEARCH('16 Water Heating Costs'!$E$42:$AE$42,'16 Water Heating Costs'!F23)) *'16 Water Heating Costs'!$E$50:$AE$50)</f>
        <v>1051.7829185822977</v>
      </c>
      <c r="E37" s="142"/>
      <c r="F37" s="143" cm="1">
        <f t="array" ref="F37">SUMPRODUCT(ISNUMBER(SEARCH('16 Water Heating Costs'!$E$42:$AE$42,'16 Water Heating Costs'!H23)) *'16 Water Heating Costs'!$E$50:$AE$50)</f>
        <v>594.65664509591988</v>
      </c>
      <c r="G37" s="143" cm="1">
        <f t="array" ref="G37">SUMPRODUCT(ISNUMBER(SEARCH('16 Water Heating Costs'!$E$42:$AE$42,'16 Water Heating Costs'!I23)) *'16 Water Heating Costs'!$E$50:$AE$50)</f>
        <v>594.65664509591988</v>
      </c>
      <c r="H37" s="150" cm="1">
        <f t="array" ref="H37">SUMPRODUCT(ISNUMBER(SEARCH('16 Water Heating Costs'!$E$42:$AE$42,'16 Water Heating Costs'!J23)) *'16 Water Heating Costs'!$E$50:$AE$50)</f>
        <v>1051.7829185822977</v>
      </c>
      <c r="I37"/>
      <c r="P37" s="5"/>
      <c r="Q37" s="1105"/>
      <c r="R37" s="152" t="s">
        <v>244</v>
      </c>
      <c r="S37" s="143" cm="1">
        <f t="array" ref="S37">SUMPRODUCT(ISNUMBER(SEARCH('16 Water Heating Costs'!$E$42:$AE$42,'16 Water Heating Costs'!N23)) *'16 Water Heating Costs'!$E$50:$AE$50)</f>
        <v>1051.7829185822977</v>
      </c>
      <c r="T37" s="142"/>
      <c r="U37" s="143" cm="1">
        <f t="array" ref="U37">SUMPRODUCT(ISNUMBER(SEARCH('16 Water Heating Costs'!$E$42:$AE$42,'16 Water Heating Costs'!P23)) *'16 Water Heating Costs'!$E$50:$AE$50)</f>
        <v>594.65664509591988</v>
      </c>
      <c r="V37" s="143" cm="1">
        <f t="array" ref="V37">SUMPRODUCT(ISNUMBER(SEARCH('16 Water Heating Costs'!$E$42:$AE$42,'16 Water Heating Costs'!Q23)) *'16 Water Heating Costs'!$E$50:$AE$50)</f>
        <v>594.65664509591988</v>
      </c>
      <c r="W37" s="150" cm="1">
        <f t="array" ref="W37">SUMPRODUCT(ISNUMBER(SEARCH('16 Water Heating Costs'!$E$42:$AE$42,'16 Water Heating Costs'!R23)) *'16 Water Heating Costs'!$E$50:$AE$50)</f>
        <v>1051.7829185822977</v>
      </c>
      <c r="X37"/>
      <c r="Y37" s="5"/>
      <c r="Z37" s="5"/>
      <c r="AA37" s="5"/>
      <c r="AB37" s="5"/>
      <c r="AC37" s="5"/>
      <c r="AD37" s="5"/>
      <c r="AE37" s="5"/>
      <c r="AF37" s="1119"/>
      <c r="AG37" s="152" t="s">
        <v>244</v>
      </c>
      <c r="AH37" s="143" cm="1">
        <f t="array" ref="AH37">SUMPRODUCT(ISNUMBER(SEARCH('16 Water Heating Costs'!$E$42:$AE$42,'16 Water Heating Costs'!V23)) *'16 Water Heating Costs'!$E$50:$AE$50)</f>
        <v>1051.7829185822977</v>
      </c>
      <c r="AI37" s="142"/>
      <c r="AJ37" s="143" cm="1">
        <f t="array" ref="AJ37">SUMPRODUCT(ISNUMBER(SEARCH('16 Water Heating Costs'!$E$42:$AE$42,'16 Water Heating Costs'!X23)) *'16 Water Heating Costs'!$E$50:$AE$50)</f>
        <v>594.65664509591988</v>
      </c>
      <c r="AK37" s="143" cm="1">
        <f t="array" ref="AK37">SUMPRODUCT(ISNUMBER(SEARCH('16 Water Heating Costs'!$E$42:$AE$42,'16 Water Heating Costs'!Y23)) *'16 Water Heating Costs'!$E$50:$AE$50)</f>
        <v>594.65664509591988</v>
      </c>
      <c r="AL37" s="150" cm="1">
        <f t="array" ref="AL37">SUMPRODUCT(ISNUMBER(SEARCH('16 Water Heating Costs'!$E$42:$AE$42,'16 Water Heating Costs'!Z23)) *'16 Water Heating Costs'!$E$50:$AE$50)</f>
        <v>1051.7829185822977</v>
      </c>
    </row>
    <row r="38" spans="1:38" s="61" customFormat="1" ht="199.9" customHeight="1" x14ac:dyDescent="0.25">
      <c r="A38" s="60"/>
      <c r="B38" s="1105"/>
      <c r="C38" s="152" t="s">
        <v>86</v>
      </c>
      <c r="D38" s="143" cm="1">
        <f t="array" ref="D38">SUMPRODUCT(ISNUMBER(SEARCH('16 Water Heating Costs'!$E$42:$AE$42,'16 Water Heating Costs'!F24)) *'16 Water Heating Costs'!$E$50:$AE$50)</f>
        <v>1585.5152162821832</v>
      </c>
      <c r="E38" s="143" cm="1">
        <f t="array" ref="E38">SUMPRODUCT(ISNUMBER(SEARCH('16 Water Heating Costs'!$E$42:$AE$42,'16 Water Heating Costs'!G24)) *'16 Water Heating Costs'!$E$50:$AE$50)</f>
        <v>1128.3889427958052</v>
      </c>
      <c r="F38" s="142"/>
      <c r="G38" s="143" cm="1">
        <f t="array" ref="G38">SUMPRODUCT(ISNUMBER(SEARCH('16 Water Heating Costs'!$E$42:$AE$42,'16 Water Heating Costs'!I24)) *'16 Water Heating Costs'!$E$50:$AE$50)</f>
        <v>1128.3889427958052</v>
      </c>
      <c r="H38" s="150" cm="1">
        <f t="array" ref="H38">SUMPRODUCT(ISNUMBER(SEARCH('16 Water Heating Costs'!$E$42:$AE$42,'16 Water Heating Costs'!J24)) *'16 Water Heating Costs'!$E$50:$AE$50)</f>
        <v>1585.5152162821832</v>
      </c>
      <c r="I38"/>
      <c r="J38" s="5"/>
      <c r="K38" s="5"/>
      <c r="L38" s="5"/>
      <c r="M38" s="5"/>
      <c r="N38" s="5"/>
      <c r="O38" s="5"/>
      <c r="P38" s="5"/>
      <c r="Q38" s="1105"/>
      <c r="R38" s="152" t="s">
        <v>86</v>
      </c>
      <c r="S38" s="143" cm="1">
        <f t="array" ref="S38">SUMPRODUCT(ISNUMBER(SEARCH('16 Water Heating Costs'!$E$42:$AE$42,'16 Water Heating Costs'!N24)) *'16 Water Heating Costs'!$E$50:$AE$50)</f>
        <v>1739.9664319972426</v>
      </c>
      <c r="T38" s="143" cm="1">
        <f t="array" ref="T38">SUMPRODUCT(ISNUMBER(SEARCH('16 Water Heating Costs'!$E$42:$AE$42,'16 Water Heating Costs'!O24)) *'16 Water Heating Costs'!$E$50:$AE$50)</f>
        <v>1282.8401585108647</v>
      </c>
      <c r="U38" s="142"/>
      <c r="V38" s="143" cm="1">
        <f t="array" ref="V38">SUMPRODUCT(ISNUMBER(SEARCH('16 Water Heating Costs'!$E$42:$AE$42,'16 Water Heating Costs'!Q24)) *'16 Water Heating Costs'!$E$50:$AE$50)</f>
        <v>1282.8401585108647</v>
      </c>
      <c r="W38" s="150" cm="1">
        <f t="array" ref="W38">SUMPRODUCT(ISNUMBER(SEARCH('16 Water Heating Costs'!$E$42:$AE$42,'16 Water Heating Costs'!R24)) *'16 Water Heating Costs'!$E$50:$AE$50)</f>
        <v>1739.9664319972426</v>
      </c>
      <c r="X38"/>
      <c r="Y38" s="5"/>
      <c r="Z38" s="5"/>
      <c r="AA38" s="5"/>
      <c r="AB38" s="5"/>
      <c r="AC38" s="5"/>
      <c r="AD38" s="5"/>
      <c r="AE38" s="5"/>
      <c r="AF38" s="1119"/>
      <c r="AG38" s="152" t="s">
        <v>86</v>
      </c>
      <c r="AH38" s="143" cm="1">
        <f t="array" ref="AH38">SUMPRODUCT(ISNUMBER(SEARCH('16 Water Heating Costs'!$E$42:$AE$42,'16 Water Heating Costs'!V24)) *'16 Water Heating Costs'!$E$50:$AE$50)</f>
        <v>1510.5719275255942</v>
      </c>
      <c r="AI38" s="143" cm="1">
        <f t="array" ref="AI38">SUMPRODUCT(ISNUMBER(SEARCH('16 Water Heating Costs'!$E$42:$AE$42,'16 Water Heating Costs'!W24)) *'16 Water Heating Costs'!$E$50:$AE$50)</f>
        <v>1053.4456540392166</v>
      </c>
      <c r="AJ38" s="142"/>
      <c r="AK38" s="143" cm="1">
        <f t="array" ref="AK38">SUMPRODUCT(ISNUMBER(SEARCH('16 Water Heating Costs'!$E$42:$AE$42,'16 Water Heating Costs'!Y24)) *'16 Water Heating Costs'!$E$50:$AE$50)</f>
        <v>1053.4456540392166</v>
      </c>
      <c r="AL38" s="150" cm="1">
        <f t="array" ref="AL38">SUMPRODUCT(ISNUMBER(SEARCH('16 Water Heating Costs'!$E$42:$AE$42,'16 Water Heating Costs'!Z24)) *'16 Water Heating Costs'!$E$50:$AE$50)</f>
        <v>1510.5719275255942</v>
      </c>
    </row>
    <row r="39" spans="1:38" ht="199.9" customHeight="1" x14ac:dyDescent="0.25">
      <c r="B39" s="1105"/>
      <c r="C39" s="152" t="s">
        <v>242</v>
      </c>
      <c r="D39" s="143" cm="1">
        <f t="array" ref="D39">SUMPRODUCT(ISNUMBER(SEARCH('16 Water Heating Costs'!$E$42:$AE$42,'16 Water Heating Costs'!F25)) *'16 Water Heating Costs'!$E$50:$AE$50)</f>
        <v>1585.5152162821832</v>
      </c>
      <c r="E39" s="143" cm="1">
        <f t="array" ref="E39">SUMPRODUCT(ISNUMBER(SEARCH('16 Water Heating Costs'!$E$42:$AE$42,'16 Water Heating Costs'!G25)) *'16 Water Heating Costs'!$E$50:$AE$50)</f>
        <v>1128.3889427958052</v>
      </c>
      <c r="F39" s="143" cm="1">
        <f t="array" ref="F39">SUMPRODUCT(ISNUMBER(SEARCH('16 Water Heating Costs'!$E$42:$AE$42,'16 Water Heating Costs'!H25)) *'16 Water Heating Costs'!$E$50:$AE$50)</f>
        <v>1128.3889427958052</v>
      </c>
      <c r="G39" s="142"/>
      <c r="H39" s="150" cm="1">
        <f t="array" ref="H39">SUMPRODUCT(ISNUMBER(SEARCH('16 Water Heating Costs'!$E$42:$AE$42,'16 Water Heating Costs'!J25)) *'16 Water Heating Costs'!$E$50:$AE$50)</f>
        <v>1585.5152162821832</v>
      </c>
      <c r="I39"/>
      <c r="P39" s="5"/>
      <c r="Q39" s="1105"/>
      <c r="R39" s="152" t="s">
        <v>242</v>
      </c>
      <c r="S39" s="143" cm="1">
        <f t="array" ref="S39">SUMPRODUCT(ISNUMBER(SEARCH('16 Water Heating Costs'!$E$42:$AE$42,'16 Water Heating Costs'!N25)) *'16 Water Heating Costs'!$E$50:$AE$50)</f>
        <v>1739.9664319972426</v>
      </c>
      <c r="T39" s="143" cm="1">
        <f t="array" ref="T39">SUMPRODUCT(ISNUMBER(SEARCH('16 Water Heating Costs'!$E$42:$AE$42,'16 Water Heating Costs'!O25)) *'16 Water Heating Costs'!$E$50:$AE$50)</f>
        <v>1282.8401585108647</v>
      </c>
      <c r="U39" s="143" cm="1">
        <f t="array" ref="U39">SUMPRODUCT(ISNUMBER(SEARCH('16 Water Heating Costs'!$E$42:$AE$42,'16 Water Heating Costs'!P25)) *'16 Water Heating Costs'!$E$50:$AE$50)</f>
        <v>1282.8401585108647</v>
      </c>
      <c r="V39" s="142"/>
      <c r="W39" s="150" cm="1">
        <f t="array" ref="W39">SUMPRODUCT(ISNUMBER(SEARCH('16 Water Heating Costs'!$E$42:$AE$42,'16 Water Heating Costs'!R25)) *'16 Water Heating Costs'!$E$50:$AE$50)</f>
        <v>1739.9664319972426</v>
      </c>
      <c r="X39"/>
      <c r="Y39" s="5"/>
      <c r="Z39" s="5"/>
      <c r="AA39" s="5"/>
      <c r="AB39" s="5"/>
      <c r="AC39" s="5"/>
      <c r="AD39" s="5"/>
      <c r="AE39" s="5"/>
      <c r="AF39" s="1119"/>
      <c r="AG39" s="152" t="s">
        <v>242</v>
      </c>
      <c r="AH39" s="143" cm="1">
        <f t="array" ref="AH39">SUMPRODUCT(ISNUMBER(SEARCH('16 Water Heating Costs'!$E$42:$AE$42,'16 Water Heating Costs'!V25)) *'16 Water Heating Costs'!$E$50:$AE$50)</f>
        <v>1510.5719275255942</v>
      </c>
      <c r="AI39" s="143" cm="1">
        <f t="array" ref="AI39">SUMPRODUCT(ISNUMBER(SEARCH('16 Water Heating Costs'!$E$42:$AE$42,'16 Water Heating Costs'!W25)) *'16 Water Heating Costs'!$E$50:$AE$50)</f>
        <v>1053.4456540392166</v>
      </c>
      <c r="AJ39" s="143" cm="1">
        <f t="array" ref="AJ39">SUMPRODUCT(ISNUMBER(SEARCH('16 Water Heating Costs'!$E$42:$AE$42,'16 Water Heating Costs'!X25)) *'16 Water Heating Costs'!$E$50:$AE$50)</f>
        <v>1053.4456540392166</v>
      </c>
      <c r="AK39" s="142"/>
      <c r="AL39" s="150" cm="1">
        <f t="array" ref="AL39">SUMPRODUCT(ISNUMBER(SEARCH('16 Water Heating Costs'!$E$42:$AE$42,'16 Water Heating Costs'!Z25)) *'16 Water Heating Costs'!$E$50:$AE$50)</f>
        <v>1510.5719275255942</v>
      </c>
    </row>
    <row r="40" spans="1:38" ht="199.9" customHeight="1" thickBot="1" x14ac:dyDescent="0.3">
      <c r="A40" s="60"/>
      <c r="B40" s="1106"/>
      <c r="C40" s="153" t="s">
        <v>172</v>
      </c>
      <c r="D40" s="354" cm="1">
        <f t="array" ref="D40">SUMPRODUCT(ISNUMBER(SEARCH('16 Water Heating Costs'!$E$42:$AE$42,'16 Water Heating Costs'!F26)) *'16 Water Heating Costs'!$E$50:$AE$50)</f>
        <v>80</v>
      </c>
      <c r="E40" s="354" cm="1">
        <f t="array" ref="E40">SUMPRODUCT(ISNUMBER(SEARCH('16 Water Heating Costs'!$E$42:$AE$42,'16 Water Heating Costs'!G26)) *'16 Water Heating Costs'!$E$50:$AE$50)</f>
        <v>963.47164459196733</v>
      </c>
      <c r="F40" s="354" cm="1">
        <f t="array" ref="F40">SUMPRODUCT(ISNUMBER(SEARCH('16 Water Heating Costs'!$E$42:$AE$42,'16 Water Heating Costs'!H26)) *'16 Water Heating Costs'!$E$50:$AE$50)</f>
        <v>963.47164459196733</v>
      </c>
      <c r="G40" s="354" cm="1">
        <f t="array" ref="G40">SUMPRODUCT(ISNUMBER(SEARCH('16 Water Heating Costs'!$E$42:$AE$42,'16 Water Heating Costs'!I26)) *'16 Water Heating Costs'!$E$50:$AE$50)</f>
        <v>963.47164459196733</v>
      </c>
      <c r="H40" s="426"/>
      <c r="I40"/>
      <c r="P40" s="5"/>
      <c r="Q40" s="1106"/>
      <c r="R40" s="153" t="s">
        <v>172</v>
      </c>
      <c r="S40" s="354" cm="1">
        <f t="array" ref="S40">SUMPRODUCT(ISNUMBER(SEARCH('16 Water Heating Costs'!$E$42:$AE$42,'16 Water Heating Costs'!N26)) *'16 Water Heating Costs'!$E$50:$AE$50)</f>
        <v>80</v>
      </c>
      <c r="T40" s="354" cm="1">
        <f t="array" ref="T40">SUMPRODUCT(ISNUMBER(SEARCH('16 Water Heating Costs'!$E$42:$AE$42,'16 Water Heating Costs'!O26)) *'16 Water Heating Costs'!$E$50:$AE$50)</f>
        <v>963.47164459196733</v>
      </c>
      <c r="U40" s="354" cm="1">
        <f t="array" ref="U40">SUMPRODUCT(ISNUMBER(SEARCH('16 Water Heating Costs'!$E$42:$AE$42,'16 Water Heating Costs'!P26)) *'16 Water Heating Costs'!$E$50:$AE$50)</f>
        <v>963.47164459196733</v>
      </c>
      <c r="V40" s="354" cm="1">
        <f t="array" ref="V40">SUMPRODUCT(ISNUMBER(SEARCH('16 Water Heating Costs'!$E$42:$AE$42,'16 Water Heating Costs'!Q26)) *'16 Water Heating Costs'!$E$50:$AE$50)</f>
        <v>963.47164459196733</v>
      </c>
      <c r="W40" s="426"/>
      <c r="X40"/>
      <c r="Y40" s="5"/>
      <c r="Z40" s="5"/>
      <c r="AA40" s="5"/>
      <c r="AB40" s="5"/>
      <c r="AC40" s="5"/>
      <c r="AD40" s="5"/>
      <c r="AE40" s="5"/>
      <c r="AF40" s="1120"/>
      <c r="AG40" s="153" t="s">
        <v>172</v>
      </c>
      <c r="AH40" s="354" cm="1">
        <f t="array" ref="AH40">SUMPRODUCT(ISNUMBER(SEARCH('16 Water Heating Costs'!$E$42:$AE$42,'16 Water Heating Costs'!V26)) *'16 Water Heating Costs'!$E$50:$AE$50)</f>
        <v>80</v>
      </c>
      <c r="AI40" s="354" cm="1">
        <f t="array" ref="AI40">SUMPRODUCT(ISNUMBER(SEARCH('16 Water Heating Costs'!$E$42:$AE$42,'16 Water Heating Costs'!W26)) *'16 Water Heating Costs'!$E$50:$AE$50)</f>
        <v>963.47164459196733</v>
      </c>
      <c r="AJ40" s="354" cm="1">
        <f t="array" ref="AJ40">SUMPRODUCT(ISNUMBER(SEARCH('16 Water Heating Costs'!$E$42:$AE$42,'16 Water Heating Costs'!X26)) *'16 Water Heating Costs'!$E$50:$AE$50)</f>
        <v>963.47164459196733</v>
      </c>
      <c r="AK40" s="354" cm="1">
        <f t="array" ref="AK40">SUMPRODUCT(ISNUMBER(SEARCH('16 Water Heating Costs'!$E$42:$AE$42,'16 Water Heating Costs'!Y26)) *'16 Water Heating Costs'!$E$50:$AE$50)</f>
        <v>963.47164459196733</v>
      </c>
      <c r="AL40" s="426"/>
    </row>
    <row r="41" spans="1:38" ht="79.900000000000006" customHeight="1" thickBot="1" x14ac:dyDescent="0.3">
      <c r="A41" s="60"/>
      <c r="B41"/>
      <c r="C41"/>
      <c r="D41"/>
      <c r="E41"/>
      <c r="F41"/>
      <c r="G41"/>
      <c r="H41"/>
      <c r="I41"/>
      <c r="P41" s="5"/>
      <c r="Q41"/>
      <c r="R41"/>
      <c r="S41"/>
      <c r="T41"/>
      <c r="U41"/>
      <c r="V41"/>
      <c r="W41"/>
      <c r="X41"/>
      <c r="Y41" s="5"/>
      <c r="Z41" s="5"/>
      <c r="AA41" s="5"/>
      <c r="AB41" s="5"/>
      <c r="AC41" s="5"/>
      <c r="AD41" s="5"/>
      <c r="AE41" s="5"/>
      <c r="AF41"/>
      <c r="AG41"/>
      <c r="AH41"/>
      <c r="AI41"/>
      <c r="AJ41"/>
      <c r="AK41"/>
      <c r="AL41"/>
    </row>
    <row r="42" spans="1:38" ht="210.75" customHeight="1" x14ac:dyDescent="0.25">
      <c r="A42" s="60"/>
      <c r="B42" s="1107" t="s">
        <v>1629</v>
      </c>
      <c r="C42" s="1108"/>
      <c r="D42" s="1108"/>
      <c r="E42" s="1108"/>
      <c r="F42" s="1108"/>
      <c r="G42" s="1108"/>
      <c r="H42" s="1109"/>
      <c r="I42"/>
      <c r="P42" s="5"/>
      <c r="Q42" s="1107" t="s">
        <v>1630</v>
      </c>
      <c r="R42" s="1108"/>
      <c r="S42" s="1108"/>
      <c r="T42" s="1108"/>
      <c r="U42" s="1108"/>
      <c r="V42" s="1108"/>
      <c r="W42" s="1109"/>
      <c r="X42"/>
      <c r="Y42" s="5"/>
      <c r="Z42" s="5"/>
      <c r="AA42" s="5"/>
      <c r="AB42" s="5"/>
      <c r="AC42" s="5"/>
      <c r="AD42" s="5"/>
      <c r="AE42" s="5"/>
      <c r="AF42" s="1107" t="s">
        <v>1631</v>
      </c>
      <c r="AG42" s="1108"/>
      <c r="AH42" s="1108"/>
      <c r="AI42" s="1108"/>
      <c r="AJ42" s="1108"/>
      <c r="AK42" s="1108"/>
      <c r="AL42" s="1109"/>
    </row>
    <row r="43" spans="1:38" ht="79.900000000000006" customHeight="1" x14ac:dyDescent="0.25">
      <c r="A43" s="60"/>
      <c r="B43" s="1110" t="s">
        <v>977</v>
      </c>
      <c r="C43" s="1111"/>
      <c r="D43" s="1116" t="s">
        <v>990</v>
      </c>
      <c r="E43" s="1117"/>
      <c r="F43" s="1117"/>
      <c r="G43" s="1117"/>
      <c r="H43" s="1118"/>
      <c r="I43"/>
      <c r="P43" s="5"/>
      <c r="Q43" s="1110" t="s">
        <v>977</v>
      </c>
      <c r="R43" s="1111"/>
      <c r="S43" s="1116" t="s">
        <v>990</v>
      </c>
      <c r="T43" s="1117"/>
      <c r="U43" s="1117"/>
      <c r="V43" s="1117"/>
      <c r="W43" s="1118"/>
      <c r="X43"/>
      <c r="Y43" s="5"/>
      <c r="Z43" s="5"/>
      <c r="AA43" s="5"/>
      <c r="AB43" s="5"/>
      <c r="AC43" s="5"/>
      <c r="AD43" s="5"/>
      <c r="AE43" s="5"/>
      <c r="AF43" s="1110" t="s">
        <v>977</v>
      </c>
      <c r="AG43" s="1111"/>
      <c r="AH43" s="1116" t="s">
        <v>990</v>
      </c>
      <c r="AI43" s="1117"/>
      <c r="AJ43" s="1117"/>
      <c r="AK43" s="1117"/>
      <c r="AL43" s="1118"/>
    </row>
    <row r="44" spans="1:38" ht="79.900000000000006" customHeight="1" x14ac:dyDescent="0.25">
      <c r="A44" s="60"/>
      <c r="B44" s="1112"/>
      <c r="C44" s="1113"/>
      <c r="D44" s="1121" t="s">
        <v>246</v>
      </c>
      <c r="E44" s="1121" t="s">
        <v>244</v>
      </c>
      <c r="F44" s="1121" t="s">
        <v>86</v>
      </c>
      <c r="G44" s="1121" t="s">
        <v>242</v>
      </c>
      <c r="H44" s="1123" t="s">
        <v>172</v>
      </c>
      <c r="I44"/>
      <c r="P44" s="5"/>
      <c r="Q44" s="1112"/>
      <c r="R44" s="1113"/>
      <c r="S44" s="1121" t="s">
        <v>246</v>
      </c>
      <c r="T44" s="1121" t="s">
        <v>244</v>
      </c>
      <c r="U44" s="1121" t="s">
        <v>86</v>
      </c>
      <c r="V44" s="1121" t="s">
        <v>242</v>
      </c>
      <c r="W44" s="1123" t="s">
        <v>172</v>
      </c>
      <c r="X44"/>
      <c r="Y44" s="5"/>
      <c r="Z44" s="5"/>
      <c r="AA44" s="5"/>
      <c r="AB44" s="5"/>
      <c r="AC44" s="5"/>
      <c r="AD44" s="5"/>
      <c r="AE44" s="5"/>
      <c r="AF44" s="1112"/>
      <c r="AG44" s="1113"/>
      <c r="AH44" s="668" t="s">
        <v>246</v>
      </c>
      <c r="AI44" s="668" t="s">
        <v>244</v>
      </c>
      <c r="AJ44" s="668" t="s">
        <v>86</v>
      </c>
      <c r="AK44" s="668" t="s">
        <v>242</v>
      </c>
      <c r="AL44" s="677" t="s">
        <v>172</v>
      </c>
    </row>
    <row r="45" spans="1:38" ht="79.900000000000006" customHeight="1" x14ac:dyDescent="0.25">
      <c r="A45" s="60"/>
      <c r="B45" s="1114"/>
      <c r="C45" s="1115"/>
      <c r="D45" s="1122"/>
      <c r="E45" s="1122"/>
      <c r="F45" s="1122"/>
      <c r="G45" s="1122"/>
      <c r="H45" s="1124"/>
      <c r="I45"/>
      <c r="P45" s="5"/>
      <c r="Q45" s="1114"/>
      <c r="R45" s="1115"/>
      <c r="S45" s="1122"/>
      <c r="T45" s="1122"/>
      <c r="U45" s="1122"/>
      <c r="V45" s="1122"/>
      <c r="W45" s="1124"/>
      <c r="X45"/>
      <c r="Y45" s="5"/>
      <c r="Z45" s="5"/>
      <c r="AA45" s="5"/>
      <c r="AB45" s="5"/>
      <c r="AC45" s="5"/>
      <c r="AD45" s="5"/>
      <c r="AE45" s="5"/>
      <c r="AF45" s="1114"/>
      <c r="AG45" s="1115"/>
      <c r="AH45" s="179"/>
      <c r="AI45" s="179"/>
      <c r="AJ45" s="179"/>
      <c r="AK45" s="179"/>
      <c r="AL45" s="180"/>
    </row>
    <row r="46" spans="1:38" ht="199.9" customHeight="1" x14ac:dyDescent="0.25">
      <c r="B46" s="1104" t="s">
        <v>952</v>
      </c>
      <c r="C46" s="149" t="s">
        <v>246</v>
      </c>
      <c r="D46" s="142"/>
      <c r="E46" s="143" cm="1">
        <f t="array" ref="E46">SUMPRODUCT(ISNUMBER(SEARCH('16 Water Heating Costs'!$E$42:$AE$42,'16 Water Heating Costs'!G33)) *'16 Water Heating Costs'!$E$50:$AE$50)</f>
        <v>963.47164459196733</v>
      </c>
      <c r="F46" s="143" cm="1">
        <f t="array" ref="F46">SUMPRODUCT(ISNUMBER(SEARCH('16 Water Heating Costs'!$E$42:$AE$42,'16 Water Heating Costs'!H33)) *'16 Water Heating Costs'!$E$50:$AE$50)</f>
        <v>963.47164459196733</v>
      </c>
      <c r="G46" s="143" cm="1">
        <f t="array" ref="G46">SUMPRODUCT(ISNUMBER(SEARCH('16 Water Heating Costs'!$E$42:$AE$42,'16 Water Heating Costs'!I33)) *'16 Water Heating Costs'!$E$50:$AE$50)</f>
        <v>963.47164459196733</v>
      </c>
      <c r="H46" s="150" cm="1">
        <f t="array" ref="H46">SUMPRODUCT(ISNUMBER(SEARCH('16 Water Heating Costs'!$E$42:$AE$42,'16 Water Heating Costs'!J33)) *'16 Water Heating Costs'!$E$50:$AE$50)</f>
        <v>777.24587310345714</v>
      </c>
      <c r="I46"/>
      <c r="P46" s="5"/>
      <c r="Q46" s="1104" t="s">
        <v>952</v>
      </c>
      <c r="R46" s="149" t="s">
        <v>246</v>
      </c>
      <c r="S46" s="142"/>
      <c r="T46" s="143" cm="1">
        <f t="array" ref="T46">SUMPRODUCT(ISNUMBER(SEARCH('16 Water Heating Costs'!$E$42:$AE$42,'16 Water Heating Costs'!O33)) *'16 Water Heating Costs'!$E$50:$AE$50)</f>
        <v>963.47164459196733</v>
      </c>
      <c r="U46" s="143" cm="1">
        <f t="array" ref="U46">SUMPRODUCT(ISNUMBER(SEARCH('16 Water Heating Costs'!$E$42:$AE$42,'16 Water Heating Costs'!P33)) *'16 Water Heating Costs'!$E$50:$AE$50)</f>
        <v>963.47164459196733</v>
      </c>
      <c r="V46" s="143" cm="1">
        <f t="array" ref="V46">SUMPRODUCT(ISNUMBER(SEARCH('16 Water Heating Costs'!$E$42:$AE$42,'16 Water Heating Costs'!Q33)) *'16 Water Heating Costs'!$E$50:$AE$50)</f>
        <v>963.47164459196733</v>
      </c>
      <c r="W46" s="150" cm="1">
        <f t="array" ref="W46">SUMPRODUCT(ISNUMBER(SEARCH('16 Water Heating Costs'!$E$42:$AE$42,'16 Water Heating Costs'!R33)) *'16 Water Heating Costs'!$E$50:$AE$50)</f>
        <v>777.24587310345714</v>
      </c>
      <c r="X46"/>
      <c r="Y46" s="5"/>
      <c r="Z46" s="5"/>
      <c r="AA46" s="5"/>
      <c r="AB46" s="5"/>
      <c r="AC46" s="5"/>
      <c r="AD46" s="5"/>
      <c r="AE46" s="5"/>
      <c r="AF46" s="1104" t="s">
        <v>952</v>
      </c>
      <c r="AG46" s="149" t="s">
        <v>246</v>
      </c>
      <c r="AH46" s="142"/>
      <c r="AI46" s="143" cm="1">
        <f t="array" ref="AI46">SUMPRODUCT(ISNUMBER(SEARCH('16 Water Heating Costs'!$E$42:$AE$42,'16 Water Heating Costs'!W33)) *'16 Water Heating Costs'!$E$50:$AE$50)</f>
        <v>963.47164459196733</v>
      </c>
      <c r="AJ46" s="143" cm="1">
        <f t="array" ref="AJ46">SUMPRODUCT(ISNUMBER(SEARCH('16 Water Heating Costs'!$E$42:$AE$42,'16 Water Heating Costs'!X33)) *'16 Water Heating Costs'!$E$50:$AE$50)</f>
        <v>963.47164459196733</v>
      </c>
      <c r="AK46" s="143" cm="1">
        <f t="array" ref="AK46">SUMPRODUCT(ISNUMBER(SEARCH('16 Water Heating Costs'!$E$42:$AE$42,'16 Water Heating Costs'!Y33)) *'16 Water Heating Costs'!$E$50:$AE$50)</f>
        <v>963.47164459196733</v>
      </c>
      <c r="AL46" s="150" cm="1">
        <f t="array" ref="AL46">SUMPRODUCT(ISNUMBER(SEARCH('16 Water Heating Costs'!$E$42:$AE$42,'16 Water Heating Costs'!Z33)) *'16 Water Heating Costs'!$E$50:$AE$50)</f>
        <v>777.24587310345714</v>
      </c>
    </row>
    <row r="47" spans="1:38" ht="199.9" customHeight="1" x14ac:dyDescent="0.25">
      <c r="B47" s="1105"/>
      <c r="C47" s="152" t="s">
        <v>244</v>
      </c>
      <c r="D47" s="142"/>
      <c r="E47" s="142"/>
      <c r="F47" s="142"/>
      <c r="G47" s="142"/>
      <c r="H47" s="144"/>
      <c r="I47"/>
      <c r="P47" s="5"/>
      <c r="Q47" s="1105"/>
      <c r="R47" s="152" t="s">
        <v>244</v>
      </c>
      <c r="S47" s="142"/>
      <c r="T47" s="142"/>
      <c r="U47" s="142"/>
      <c r="V47" s="142"/>
      <c r="W47" s="144"/>
      <c r="X47"/>
      <c r="Y47" s="5"/>
      <c r="Z47" s="5"/>
      <c r="AA47" s="5"/>
      <c r="AB47" s="5"/>
      <c r="AC47" s="5"/>
      <c r="AD47" s="5"/>
      <c r="AE47" s="5"/>
      <c r="AF47" s="1119"/>
      <c r="AG47" s="152" t="s">
        <v>244</v>
      </c>
      <c r="AH47" s="142"/>
      <c r="AI47" s="142"/>
      <c r="AJ47" s="142"/>
      <c r="AK47" s="142"/>
      <c r="AL47" s="144"/>
    </row>
    <row r="48" spans="1:38" ht="199.9" customHeight="1" x14ac:dyDescent="0.25">
      <c r="B48" s="1105"/>
      <c r="C48" s="152" t="s">
        <v>86</v>
      </c>
      <c r="D48" s="143" cm="1">
        <f t="array" ref="D48">SUMPRODUCT(ISNUMBER(SEARCH('16 Water Heating Costs'!$E$42:$AE$42,'16 Water Heating Costs'!F35)) *'16 Water Heating Costs'!$E$50:$AE$50)</f>
        <v>3261.2375548030695</v>
      </c>
      <c r="E48" s="143" cm="1">
        <f t="array" ref="E48">SUMPRODUCT(ISNUMBER(SEARCH('16 Water Heating Costs'!$E$42:$AE$42,'16 Water Heating Costs'!G35)) *'16 Water Heating Costs'!$E$50:$AE$50)</f>
        <v>1845.4394932214977</v>
      </c>
      <c r="F48" s="142"/>
      <c r="G48" s="143" cm="1">
        <f t="array" ref="G48">SUMPRODUCT(ISNUMBER(SEARCH('16 Water Heating Costs'!$E$42:$AE$42,'16 Water Heating Costs'!I35)) *'16 Water Heating Costs'!$E$50:$AE$50)</f>
        <v>2804.1112813166919</v>
      </c>
      <c r="H48" s="150" cm="1">
        <f t="array" ref="H48">SUMPRODUCT(ISNUMBER(SEARCH('16 Water Heating Costs'!$E$42:$AE$42,'16 Water Heating Costs'!J35)) *'16 Water Heating Costs'!$E$50:$AE$50)</f>
        <v>3261.2375548030695</v>
      </c>
      <c r="I48"/>
      <c r="P48" s="5"/>
      <c r="Q48" s="1105"/>
      <c r="R48" s="152" t="s">
        <v>86</v>
      </c>
      <c r="S48" s="143" cm="1">
        <f t="array" ref="S48">SUMPRODUCT(ISNUMBER(SEARCH('16 Water Heating Costs'!$E$42:$AE$42,'16 Water Heating Costs'!N35)) *'16 Water Heating Costs'!$E$50:$AE$50)</f>
        <v>3950.0899768922354</v>
      </c>
      <c r="T48" s="143" cm="1">
        <f t="array" ref="T48">SUMPRODUCT(ISNUMBER(SEARCH('16 Water Heating Costs'!$E$42:$AE$42,'16 Water Heating Costs'!O35)) *'16 Water Heating Costs'!$E$50:$AE$50)</f>
        <v>2534.2919153106632</v>
      </c>
      <c r="U48" s="142"/>
      <c r="V48" s="143" cm="1">
        <f t="array" ref="V48">SUMPRODUCT(ISNUMBER(SEARCH('16 Water Heating Costs'!$E$42:$AE$42,'16 Water Heating Costs'!Q35)) *'16 Water Heating Costs'!$E$50:$AE$50)</f>
        <v>3492.9637034058578</v>
      </c>
      <c r="W48" s="150" cm="1">
        <f t="array" ref="W48">SUMPRODUCT(ISNUMBER(SEARCH('16 Water Heating Costs'!$E$42:$AE$42,'16 Water Heating Costs'!R35)) *'16 Water Heating Costs'!$E$50:$AE$50)</f>
        <v>3950.0899768922354</v>
      </c>
      <c r="X48"/>
      <c r="Y48" s="5"/>
      <c r="Z48" s="5"/>
      <c r="AA48" s="5"/>
      <c r="AB48" s="5"/>
      <c r="AC48" s="5"/>
      <c r="AD48" s="5"/>
      <c r="AE48" s="5"/>
      <c r="AF48" s="1119"/>
      <c r="AG48" s="152" t="s">
        <v>86</v>
      </c>
      <c r="AH48" s="143" cm="1">
        <f t="array" ref="AH48">SUMPRODUCT(ISNUMBER(SEARCH('16 Water Heating Costs'!$E$42:$AE$42,'16 Water Heating Costs'!V35)) *'16 Water Heating Costs'!$E$50:$AE$50)</f>
        <v>2926.9904869486841</v>
      </c>
      <c r="AI48" s="143" cm="1">
        <f t="array" ref="AI48">SUMPRODUCT(ISNUMBER(SEARCH('16 Water Heating Costs'!$E$42:$AE$42,'16 Water Heating Costs'!W35)) *'16 Water Heating Costs'!$E$50:$AE$50)</f>
        <v>2534.2919153106632</v>
      </c>
      <c r="AJ48" s="142"/>
      <c r="AK48" s="143" cm="1">
        <f t="array" ref="AK48">SUMPRODUCT(ISNUMBER(SEARCH('16 Water Heating Costs'!$E$42:$AE$42,'16 Water Heating Costs'!Y35)) *'16 Water Heating Costs'!$E$50:$AE$50)</f>
        <v>2469.864213462306</v>
      </c>
      <c r="AL48" s="150" cm="1">
        <f t="array" ref="AL48">SUMPRODUCT(ISNUMBER(SEARCH('16 Water Heating Costs'!$E$42:$AE$42,'16 Water Heating Costs'!Z35)) *'16 Water Heating Costs'!$E$50:$AE$50)</f>
        <v>2926.9904869486841</v>
      </c>
    </row>
    <row r="49" spans="2:38" ht="199.9" customHeight="1" x14ac:dyDescent="0.25">
      <c r="B49" s="1105"/>
      <c r="C49" s="152" t="s">
        <v>242</v>
      </c>
      <c r="D49" s="143" cm="1">
        <f t="array" ref="D49">SUMPRODUCT(ISNUMBER(SEARCH('16 Water Heating Costs'!$E$42:$AE$42,'16 Water Heating Costs'!F36)) *'16 Water Heating Costs'!$E$50:$AE$50)</f>
        <v>3261.2375548030695</v>
      </c>
      <c r="E49" s="143" cm="1">
        <f t="array" ref="E49">SUMPRODUCT(ISNUMBER(SEARCH('16 Water Heating Costs'!$E$42:$AE$42,'16 Water Heating Costs'!G36)) *'16 Water Heating Costs'!$E$50:$AE$50)</f>
        <v>2804.1112813166919</v>
      </c>
      <c r="F49" s="143" cm="1">
        <f t="array" ref="F49">SUMPRODUCT(ISNUMBER(SEARCH('16 Water Heating Costs'!$E$42:$AE$42,'16 Water Heating Costs'!H36)) *'16 Water Heating Costs'!$E$50:$AE$50)</f>
        <v>2804.1112813166919</v>
      </c>
      <c r="G49" s="142"/>
      <c r="H49" s="150" cm="1">
        <f t="array" ref="H49">SUMPRODUCT(ISNUMBER(SEARCH('16 Water Heating Costs'!$E$42:$AE$42,'16 Water Heating Costs'!J36)) *'16 Water Heating Costs'!$E$50:$AE$50)</f>
        <v>3261.2375548030695</v>
      </c>
      <c r="I49"/>
      <c r="P49" s="5"/>
      <c r="Q49" s="1105"/>
      <c r="R49" s="152" t="s">
        <v>242</v>
      </c>
      <c r="S49" s="143" cm="1">
        <f t="array" ref="S49">SUMPRODUCT(ISNUMBER(SEARCH('16 Water Heating Costs'!$E$42:$AE$42,'16 Water Heating Costs'!N36)) *'16 Water Heating Costs'!$E$50:$AE$50)</f>
        <v>3950.0899768922354</v>
      </c>
      <c r="T49" s="143" cm="1">
        <f t="array" ref="T49">SUMPRODUCT(ISNUMBER(SEARCH('16 Water Heating Costs'!$E$42:$AE$42,'16 Water Heating Costs'!O36)) *'16 Water Heating Costs'!$E$50:$AE$50)</f>
        <v>3492.9637034058578</v>
      </c>
      <c r="U49" s="143" cm="1">
        <f t="array" ref="U49">SUMPRODUCT(ISNUMBER(SEARCH('16 Water Heating Costs'!$E$42:$AE$42,'16 Water Heating Costs'!P36)) *'16 Water Heating Costs'!$E$50:$AE$50)</f>
        <v>3492.9637034058578</v>
      </c>
      <c r="V49" s="142"/>
      <c r="W49" s="150" cm="1">
        <f t="array" ref="W49">SUMPRODUCT(ISNUMBER(SEARCH('16 Water Heating Costs'!$E$42:$AE$42,'16 Water Heating Costs'!R36)) *'16 Water Heating Costs'!$E$50:$AE$50)</f>
        <v>3950.0899768922354</v>
      </c>
      <c r="X49"/>
      <c r="Y49" s="5"/>
      <c r="Z49" s="5"/>
      <c r="AA49" s="5"/>
      <c r="AB49" s="5"/>
      <c r="AC49" s="5"/>
      <c r="AD49" s="5"/>
      <c r="AE49" s="5"/>
      <c r="AF49" s="1119"/>
      <c r="AG49" s="152" t="s">
        <v>242</v>
      </c>
      <c r="AH49" s="143" cm="1">
        <f t="array" ref="AH49">SUMPRODUCT(ISNUMBER(SEARCH('16 Water Heating Costs'!$E$42:$AE$42,'16 Water Heating Costs'!V36)) *'16 Water Heating Costs'!$E$50:$AE$50)</f>
        <v>2926.9904869486841</v>
      </c>
      <c r="AI49" s="143" cm="1">
        <f t="array" ref="AI49">SUMPRODUCT(ISNUMBER(SEARCH('16 Water Heating Costs'!$E$42:$AE$42,'16 Water Heating Costs'!W36)) *'16 Water Heating Costs'!$E$50:$AE$50)</f>
        <v>2469.864213462306</v>
      </c>
      <c r="AJ49" s="143" cm="1">
        <f t="array" ref="AJ49">SUMPRODUCT(ISNUMBER(SEARCH('16 Water Heating Costs'!$E$42:$AE$42,'16 Water Heating Costs'!X36)) *'16 Water Heating Costs'!$E$50:$AE$50)</f>
        <v>2469.864213462306</v>
      </c>
      <c r="AK49" s="142"/>
      <c r="AL49" s="150" cm="1">
        <f t="array" ref="AL49">SUMPRODUCT(ISNUMBER(SEARCH('16 Water Heating Costs'!$E$42:$AE$42,'16 Water Heating Costs'!Z36)) *'16 Water Heating Costs'!$E$50:$AE$50)</f>
        <v>2926.9904869486841</v>
      </c>
    </row>
    <row r="50" spans="2:38" ht="199.9" customHeight="1" thickBot="1" x14ac:dyDescent="0.3">
      <c r="B50" s="1106"/>
      <c r="C50" s="153" t="s">
        <v>172</v>
      </c>
      <c r="D50" s="145"/>
      <c r="E50" s="145"/>
      <c r="F50" s="145"/>
      <c r="G50" s="145"/>
      <c r="H50" s="426"/>
      <c r="I50"/>
      <c r="P50" s="5"/>
      <c r="Q50" s="1106"/>
      <c r="R50" s="153" t="s">
        <v>172</v>
      </c>
      <c r="S50" s="145"/>
      <c r="T50" s="145"/>
      <c r="U50" s="145"/>
      <c r="V50" s="145"/>
      <c r="W50" s="426"/>
      <c r="X50"/>
      <c r="Y50" s="5"/>
      <c r="Z50" s="5"/>
      <c r="AA50" s="5"/>
      <c r="AB50" s="5"/>
      <c r="AC50" s="5"/>
      <c r="AD50" s="5"/>
      <c r="AE50" s="5"/>
      <c r="AF50" s="1120"/>
      <c r="AG50" s="153" t="s">
        <v>172</v>
      </c>
      <c r="AH50" s="145"/>
      <c r="AI50" s="145"/>
      <c r="AJ50" s="145"/>
      <c r="AK50" s="145"/>
      <c r="AL50" s="426"/>
    </row>
    <row r="51" spans="2:38" ht="79.900000000000006" customHeight="1" thickBot="1" x14ac:dyDescent="0.3">
      <c r="B51" s="673"/>
      <c r="C51" s="673"/>
      <c r="D51" s="673"/>
      <c r="E51" s="673"/>
      <c r="F51" s="673"/>
      <c r="G51" s="673"/>
      <c r="H51" s="673"/>
      <c r="I51" s="673"/>
      <c r="J51" s="673"/>
      <c r="K51" s="673"/>
      <c r="L51" s="673"/>
      <c r="M51" s="673"/>
      <c r="N51" s="679"/>
      <c r="P51" s="5"/>
      <c r="Q51" s="673"/>
      <c r="R51" s="673"/>
      <c r="S51" s="673"/>
      <c r="T51" s="673"/>
      <c r="U51" s="673"/>
      <c r="V51" s="673"/>
      <c r="W51" s="673"/>
      <c r="X51" s="673"/>
      <c r="Y51" s="673"/>
      <c r="Z51" s="673"/>
      <c r="AA51" s="673"/>
      <c r="AB51" s="673"/>
      <c r="AC51" s="5"/>
      <c r="AD51" s="5"/>
      <c r="AE51" s="5"/>
      <c r="AF51" s="673"/>
      <c r="AG51" s="673"/>
      <c r="AH51" s="673"/>
      <c r="AI51" s="673"/>
      <c r="AJ51" s="673"/>
      <c r="AK51" s="673"/>
      <c r="AL51" s="673"/>
    </row>
    <row r="52" spans="2:38" ht="175.15" customHeight="1" thickBot="1" x14ac:dyDescent="0.3">
      <c r="B52" s="1135" t="s">
        <v>1074</v>
      </c>
      <c r="C52" s="1136"/>
      <c r="D52" s="1136"/>
      <c r="E52" s="1136"/>
      <c r="F52" s="1136"/>
      <c r="G52" s="1137"/>
      <c r="H52" s="364"/>
      <c r="I52" s="131"/>
      <c r="J52" s="146"/>
      <c r="K52" s="146"/>
      <c r="L52" s="146"/>
      <c r="M52" s="146"/>
      <c r="N52" s="156"/>
      <c r="O52" s="72"/>
    </row>
    <row r="53" spans="2:38" ht="79.900000000000006" customHeight="1" thickBot="1" x14ac:dyDescent="0.3">
      <c r="B53" s="1140" t="s">
        <v>226</v>
      </c>
      <c r="C53" s="1141"/>
      <c r="D53" s="1138" t="s">
        <v>282</v>
      </c>
      <c r="E53" s="1138"/>
      <c r="F53" s="1138"/>
      <c r="G53" s="1139"/>
      <c r="H53" s="183"/>
      <c r="I53" s="146"/>
      <c r="J53" s="146"/>
      <c r="K53" s="146"/>
      <c r="L53" s="146"/>
      <c r="M53" s="156"/>
      <c r="N53" s="72"/>
      <c r="O53" s="57"/>
    </row>
    <row r="54" spans="2:38" ht="199.9" customHeight="1" thickBot="1" x14ac:dyDescent="0.3">
      <c r="B54" s="1140"/>
      <c r="C54" s="1141"/>
      <c r="D54" s="147" t="s">
        <v>246</v>
      </c>
      <c r="E54" s="147" t="s">
        <v>594</v>
      </c>
      <c r="F54" s="147" t="s">
        <v>86</v>
      </c>
      <c r="G54" s="148" t="s">
        <v>242</v>
      </c>
      <c r="H54" s="131"/>
      <c r="I54" s="146"/>
      <c r="J54" s="146"/>
      <c r="K54" s="146"/>
      <c r="L54" s="146"/>
      <c r="M54" s="146"/>
      <c r="N54" s="72"/>
      <c r="O54" s="57"/>
    </row>
    <row r="55" spans="2:38" ht="199.9" customHeight="1" thickBot="1" x14ac:dyDescent="0.3">
      <c r="B55" s="1132" t="s">
        <v>227</v>
      </c>
      <c r="C55" s="147" t="s">
        <v>246</v>
      </c>
      <c r="D55" s="142"/>
      <c r="E55" s="143" cm="1">
        <f t="array" ref="E55">SUMPRODUCT(ISNUMBER(SEARCH('18 Clothes Drying Costs'!$D$16:$N$16,'18 Clothes Drying Costs'!G10)) *'18 Clothes Drying Costs'!$D$24:$N$24)</f>
        <v>703.97778849743281</v>
      </c>
      <c r="F55" s="143" cm="1">
        <f t="array" ref="F55">SUMPRODUCT(ISNUMBER(SEARCH('18 Clothes Drying Costs'!$D$16:$M$16,'18 Clothes Drying Costs'!H10)) *'18 Clothes Drying Costs'!$D$24:$M$24)</f>
        <v>927.95021890110002</v>
      </c>
      <c r="G55" s="150" cm="1">
        <f t="array" ref="G55">SUMPRODUCT(ISNUMBER(SEARCH('18 Clothes Drying Costs'!$D$16:$M$16,'18 Clothes Drying Costs'!I10)) *'18 Clothes Drying Costs'!$D$24:$M$24)</f>
        <v>927.95021890110002</v>
      </c>
      <c r="H55" s="131"/>
      <c r="I55" s="146"/>
      <c r="J55" s="146"/>
      <c r="K55" s="146"/>
      <c r="L55" s="146"/>
      <c r="M55" s="146"/>
      <c r="N55" s="72"/>
      <c r="O55" s="57"/>
    </row>
    <row r="56" spans="2:38" ht="199.9" customHeight="1" thickBot="1" x14ac:dyDescent="0.3">
      <c r="B56" s="1132"/>
      <c r="C56" s="147" t="s">
        <v>594</v>
      </c>
      <c r="D56" s="143" cm="1">
        <f t="array" ref="D56">SUMPRODUCT(ISNUMBER(SEARCH('18 Clothes Drying Costs'!$D$16:$M$16,'18 Clothes Drying Costs'!F11)) *'18 Clothes Drying Costs'!$D$24:$M$24)</f>
        <v>100</v>
      </c>
      <c r="E56" s="142"/>
      <c r="F56" s="143" cm="1">
        <f t="array" ref="F56">SUMPRODUCT(ISNUMBER(SEARCH('18 Clothes Drying Costs'!$D$16:$M$16,'18 Clothes Drying Costs'!H11)) *'18 Clothes Drying Costs'!$D$24:$M$24)</f>
        <v>1027.9502189011</v>
      </c>
      <c r="G56" s="150" cm="1">
        <f t="array" ref="G56">SUMPRODUCT(ISNUMBER(SEARCH('18 Clothes Drying Costs'!$D$16:$M$16,'18 Clothes Drying Costs'!I11)) *'18 Clothes Drying Costs'!$D$24:$M$24)</f>
        <v>1077.9502189011</v>
      </c>
      <c r="H56" s="131"/>
      <c r="I56" s="146"/>
      <c r="J56" s="146"/>
      <c r="K56" s="146"/>
      <c r="L56" s="146"/>
      <c r="M56" s="146"/>
      <c r="N56" s="72"/>
      <c r="O56" s="57"/>
    </row>
    <row r="57" spans="2:38" ht="199.9" customHeight="1" thickBot="1" x14ac:dyDescent="0.3">
      <c r="B57" s="1132"/>
      <c r="C57" s="147" t="s">
        <v>86</v>
      </c>
      <c r="D57" s="143" cm="1">
        <f t="array" ref="D57">SUMPRODUCT(ISNUMBER(SEARCH('18 Clothes Drying Costs'!$D$16:$M$16,'18 Clothes Drying Costs'!F12)) *'18 Clothes Drying Costs'!$D$24:$M$24)</f>
        <v>1003.2956942785999</v>
      </c>
      <c r="E57" s="143" cm="1">
        <f t="array" ref="E57">SUMPRODUCT(ISNUMBER(SEARCH('18 Clothes Drying Costs'!$D$16:$N$16,'18 Clothes Drying Costs'!G12)) *'18 Clothes Drying Costs'!$D$24:$N$24)</f>
        <v>1657.2734827760328</v>
      </c>
      <c r="F57" s="142"/>
      <c r="G57" s="150" cm="1">
        <f t="array" ref="G57">SUMPRODUCT(ISNUMBER(SEARCH('18 Clothes Drying Costs'!$D$16:$M$16,'18 Clothes Drying Costs'!I12)) *'18 Clothes Drying Costs'!$D$24:$M$24)</f>
        <v>1289.3146391789733</v>
      </c>
      <c r="H57" s="131"/>
      <c r="I57" s="146"/>
      <c r="J57" s="146"/>
      <c r="K57" s="146"/>
      <c r="L57" s="146"/>
      <c r="M57" s="146"/>
      <c r="N57" s="58"/>
      <c r="O57" s="57"/>
    </row>
    <row r="58" spans="2:38" ht="199.9" customHeight="1" thickBot="1" x14ac:dyDescent="0.3">
      <c r="B58" s="1133"/>
      <c r="C58" s="137" t="s">
        <v>242</v>
      </c>
      <c r="D58" s="354" cm="1">
        <f t="array" ref="D58">SUMPRODUCT(ISNUMBER(SEARCH('18 Clothes Drying Costs'!$D$16:$M$16,'18 Clothes Drying Costs'!F13)) *'18 Clothes Drying Costs'!$D$24:$M$24)</f>
        <v>1003.2956942785999</v>
      </c>
      <c r="E58" s="354" cm="1">
        <f t="array" ref="E58">SUMPRODUCT(ISNUMBER(SEARCH('18 Clothes Drying Costs'!$D$16:$N$16,'18 Clothes Drying Costs'!G13)) *'18 Clothes Drying Costs'!$D$24:$N$24)</f>
        <v>1707.2734827760328</v>
      </c>
      <c r="F58" s="354" cm="1">
        <f t="array" ref="F58">SUMPRODUCT(ISNUMBER(SEARCH('18 Clothes Drying Costs'!$D$16:$M$16,'18 Clothes Drying Costs'!H13)) *'18 Clothes Drying Costs'!$D$24:$M$24)</f>
        <v>1183.6092204000956</v>
      </c>
      <c r="G58" s="426"/>
      <c r="H58" s="58"/>
      <c r="I58" s="59"/>
      <c r="J58" s="59"/>
      <c r="K58" s="59"/>
      <c r="L58" s="59"/>
      <c r="M58" s="59"/>
      <c r="N58" s="57"/>
      <c r="O58" s="61"/>
      <c r="P58" s="61"/>
      <c r="Q58" s="61"/>
      <c r="R58" s="61"/>
      <c r="S58" s="61"/>
      <c r="T58" s="61"/>
      <c r="U58" s="61"/>
      <c r="V58" s="61"/>
      <c r="W58" s="61"/>
      <c r="X58" s="61"/>
      <c r="Y58" s="61"/>
      <c r="Z58" s="61"/>
      <c r="AA58" s="61"/>
      <c r="AB58" s="61"/>
      <c r="AC58" s="61"/>
      <c r="AD58" s="61"/>
      <c r="AE58" s="61"/>
      <c r="AF58" s="61"/>
      <c r="AG58" s="61"/>
      <c r="AH58" s="61"/>
      <c r="AI58" s="61"/>
      <c r="AJ58" s="61"/>
      <c r="AK58" s="61"/>
      <c r="AL58" s="61"/>
    </row>
    <row r="59" spans="2:38" ht="79.900000000000006" customHeight="1" thickBot="1" x14ac:dyDescent="0.3">
      <c r="B59" s="133"/>
      <c r="C59" s="157"/>
      <c r="D59" s="157"/>
      <c r="E59" s="157"/>
      <c r="F59" s="157"/>
      <c r="G59" s="157"/>
      <c r="H59" s="59"/>
      <c r="I59" s="57"/>
      <c r="J59" s="57"/>
      <c r="K59" s="57"/>
      <c r="L59" s="57"/>
      <c r="M59" s="57"/>
      <c r="N59" s="57"/>
      <c r="O59" s="57"/>
    </row>
    <row r="60" spans="2:38" ht="175.15" customHeight="1" x14ac:dyDescent="0.25">
      <c r="B60" s="1107" t="s">
        <v>546</v>
      </c>
      <c r="C60" s="1108"/>
      <c r="D60" s="1108"/>
      <c r="E60" s="1108"/>
      <c r="F60" s="1109"/>
      <c r="G60" s="365"/>
      <c r="H60" s="72"/>
      <c r="I60" s="57"/>
      <c r="J60" s="57"/>
      <c r="K60" s="57"/>
      <c r="L60" s="57"/>
      <c r="M60" s="57"/>
      <c r="N60" s="57"/>
      <c r="O60" s="57"/>
    </row>
    <row r="61" spans="2:38" ht="79.900000000000006" customHeight="1" x14ac:dyDescent="0.25">
      <c r="B61" s="1140" t="s">
        <v>287</v>
      </c>
      <c r="C61" s="1141"/>
      <c r="D61" s="1138" t="s">
        <v>282</v>
      </c>
      <c r="E61" s="1138"/>
      <c r="F61" s="1139"/>
      <c r="G61" s="151"/>
      <c r="H61" s="57"/>
      <c r="I61" s="57"/>
      <c r="J61" s="57"/>
      <c r="K61" s="57"/>
      <c r="L61" s="57"/>
      <c r="M61" s="57"/>
      <c r="N61" s="57"/>
      <c r="O61" s="57"/>
    </row>
    <row r="62" spans="2:38" ht="199.9" customHeight="1" x14ac:dyDescent="0.25">
      <c r="B62" s="1140"/>
      <c r="C62" s="1141"/>
      <c r="D62" s="147" t="s">
        <v>246</v>
      </c>
      <c r="E62" s="147" t="s">
        <v>242</v>
      </c>
      <c r="F62" s="148" t="s">
        <v>86</v>
      </c>
      <c r="G62" s="72"/>
      <c r="H62" s="57"/>
      <c r="I62" s="57"/>
      <c r="J62" s="57"/>
      <c r="K62" s="57"/>
      <c r="L62" s="57"/>
      <c r="M62" s="57"/>
      <c r="N62" s="57"/>
      <c r="O62" s="57"/>
    </row>
    <row r="63" spans="2:38" ht="199.9" customHeight="1" x14ac:dyDescent="0.25">
      <c r="B63" s="1132" t="s">
        <v>227</v>
      </c>
      <c r="C63" s="147" t="s">
        <v>246</v>
      </c>
      <c r="D63" s="142"/>
      <c r="E63" s="143" cm="1">
        <f t="array" ref="E63">SUMPRODUCT(ISNUMBER(SEARCH('17 Cooking Costs'!$E$18:$J$18, '17 Cooking Costs'!H12)) *'17 Cooking Costs'!$E$26:$J$26)</f>
        <v>812.59666358688037</v>
      </c>
      <c r="F63" s="150" cm="1">
        <f t="array" ref="F63">SUMPRODUCT(ISNUMBER(SEARCH('17 Cooking Costs'!$E$18:$J$18, '17 Cooking Costs'!I12)) *'17 Cooking Costs'!$E$26:$J$26)</f>
        <v>812.59666358688037</v>
      </c>
      <c r="G63" s="72"/>
      <c r="H63" s="57"/>
      <c r="I63" s="57"/>
      <c r="J63" s="57"/>
      <c r="K63" s="57"/>
      <c r="L63" s="57"/>
      <c r="M63" s="57"/>
      <c r="N63" s="57"/>
      <c r="O63" s="57"/>
    </row>
    <row r="64" spans="2:38" ht="199.9" customHeight="1" x14ac:dyDescent="0.25">
      <c r="B64" s="1132"/>
      <c r="C64" s="147" t="s">
        <v>242</v>
      </c>
      <c r="D64" s="143" cm="1">
        <f t="array" ref="D64">SUMPRODUCT(ISNUMBER(SEARCH('17 Cooking Costs'!$E$18:$J$18, '17 Cooking Costs'!G13)) *'17 Cooking Costs'!$E$26:$J$26)</f>
        <v>1003.2956942785999</v>
      </c>
      <c r="E64" s="142"/>
      <c r="F64" s="150" cm="1">
        <f t="array" ref="F64">SUMPRODUCT(ISNUMBER(SEARCH('17 Cooking Costs'!$E$18:$J$18, '17 Cooking Costs'!I13)) *'17 Cooking Costs'!$E$26:$J$26)</f>
        <v>1149.5830589121135</v>
      </c>
      <c r="G64" s="72"/>
      <c r="H64" s="57"/>
      <c r="I64" s="57"/>
      <c r="J64" s="57"/>
      <c r="K64" s="57"/>
      <c r="L64" s="57"/>
      <c r="M64" s="57"/>
      <c r="N64" s="57"/>
      <c r="O64" s="57"/>
    </row>
    <row r="65" spans="2:15" ht="199.9" customHeight="1" thickBot="1" x14ac:dyDescent="0.3">
      <c r="B65" s="1133"/>
      <c r="C65" s="137" t="s">
        <v>86</v>
      </c>
      <c r="D65" s="354" cm="1">
        <f t="array" ref="D65">SUMPRODUCT(ISNUMBER(SEARCH('17 Cooking Costs'!$E$18:$J$18, '17 Cooking Costs'!G14)) *'17 Cooking Costs'!$E$26:$J$26)</f>
        <v>1003.2956942785999</v>
      </c>
      <c r="E65" s="354" cm="1">
        <f t="array" ref="E65">SUMPRODUCT(ISNUMBER(SEARCH('17 Cooking Costs'!$E$18:$J$18, '17 Cooking Costs'!H14)) *'17 Cooking Costs'!$E$26:$J$26)</f>
        <v>1149.5830589121135</v>
      </c>
      <c r="F65" s="426"/>
      <c r="G65" s="72"/>
      <c r="H65" s="57"/>
      <c r="I65" s="57"/>
      <c r="J65" s="57"/>
      <c r="K65" s="57"/>
      <c r="L65" s="57"/>
      <c r="M65" s="57"/>
      <c r="N65" s="57"/>
      <c r="O65" s="57"/>
    </row>
    <row r="66" spans="2:15" x14ac:dyDescent="0.25">
      <c r="B66" s="151"/>
      <c r="C66" s="59"/>
      <c r="D66" s="59"/>
      <c r="E66" s="59"/>
      <c r="F66" s="59"/>
      <c r="G66" s="59"/>
      <c r="H66" s="57"/>
      <c r="I66" s="57"/>
      <c r="J66" s="57"/>
      <c r="K66" s="57"/>
      <c r="L66" s="57"/>
      <c r="M66" s="57"/>
      <c r="N66" s="57"/>
      <c r="O66" s="57"/>
    </row>
    <row r="67" spans="2:15" x14ac:dyDescent="0.25">
      <c r="C67" s="57"/>
      <c r="D67" s="57"/>
      <c r="E67" s="57"/>
      <c r="F67" s="57"/>
      <c r="G67" s="57"/>
      <c r="H67" s="57"/>
      <c r="I67" s="57"/>
      <c r="J67" s="57"/>
      <c r="K67" s="57"/>
      <c r="L67" s="57"/>
      <c r="M67" s="57"/>
      <c r="N67" s="57"/>
      <c r="O67" s="57"/>
    </row>
    <row r="68" spans="2:15" x14ac:dyDescent="0.25">
      <c r="C68" s="57"/>
      <c r="D68" s="57"/>
      <c r="E68" s="57"/>
      <c r="F68" s="57"/>
      <c r="G68" s="57"/>
      <c r="H68" s="57"/>
      <c r="I68" s="57"/>
      <c r="J68" s="57"/>
      <c r="K68" s="57"/>
      <c r="L68" s="57"/>
      <c r="M68" s="57"/>
      <c r="N68" s="57"/>
      <c r="O68" s="57"/>
    </row>
    <row r="69" spans="2:15" x14ac:dyDescent="0.25">
      <c r="C69" s="57"/>
      <c r="D69" s="57"/>
      <c r="E69" s="57"/>
      <c r="F69" s="57"/>
      <c r="G69" s="57"/>
      <c r="H69" s="57"/>
      <c r="I69" s="57"/>
      <c r="J69" s="57"/>
      <c r="K69" s="57"/>
      <c r="L69" s="57"/>
      <c r="M69" s="57"/>
      <c r="N69" s="57"/>
      <c r="O69" s="57"/>
    </row>
    <row r="70" spans="2:15" x14ac:dyDescent="0.25">
      <c r="C70" s="57"/>
      <c r="D70" s="57"/>
      <c r="E70" s="57"/>
      <c r="F70" s="57"/>
      <c r="G70" s="57"/>
      <c r="H70" s="57"/>
      <c r="I70" s="57"/>
      <c r="J70" s="57"/>
      <c r="K70" s="57"/>
      <c r="L70" s="57"/>
      <c r="M70" s="57"/>
      <c r="N70" s="57"/>
      <c r="O70" s="57"/>
    </row>
    <row r="71" spans="2:15" x14ac:dyDescent="0.25">
      <c r="C71" s="57"/>
      <c r="D71" s="57"/>
      <c r="E71" s="57"/>
      <c r="F71" s="57"/>
      <c r="G71" s="57"/>
      <c r="H71" s="57"/>
      <c r="I71" s="57"/>
      <c r="J71" s="57"/>
      <c r="K71" s="57"/>
      <c r="L71" s="57"/>
      <c r="M71" s="57"/>
      <c r="N71" s="57"/>
      <c r="O71" s="57"/>
    </row>
    <row r="72" spans="2:15" x14ac:dyDescent="0.25">
      <c r="C72" s="57"/>
      <c r="D72" s="57"/>
      <c r="E72" s="57"/>
      <c r="F72" s="57"/>
      <c r="G72" s="57"/>
      <c r="H72" s="57"/>
      <c r="I72" s="57"/>
      <c r="J72" s="57"/>
      <c r="K72" s="57"/>
      <c r="L72" s="57"/>
      <c r="M72" s="57"/>
      <c r="N72" s="57"/>
      <c r="O72" s="57"/>
    </row>
    <row r="73" spans="2:15" x14ac:dyDescent="0.25">
      <c r="C73" s="57"/>
      <c r="D73" s="57"/>
      <c r="E73" s="57"/>
      <c r="F73" s="57"/>
      <c r="G73" s="57"/>
      <c r="H73" s="57"/>
      <c r="I73" s="57"/>
      <c r="J73" s="57"/>
      <c r="K73" s="57"/>
      <c r="L73" s="57"/>
      <c r="M73" s="57"/>
      <c r="N73" s="57"/>
      <c r="O73" s="57"/>
    </row>
  </sheetData>
  <mergeCells count="88">
    <mergeCell ref="B63:B65"/>
    <mergeCell ref="B52:G52"/>
    <mergeCell ref="B53:C54"/>
    <mergeCell ref="D53:G53"/>
    <mergeCell ref="B55:B58"/>
    <mergeCell ref="B60:F60"/>
    <mergeCell ref="B61:C62"/>
    <mergeCell ref="D61:F61"/>
    <mergeCell ref="AH7:AS7"/>
    <mergeCell ref="B9:B20"/>
    <mergeCell ref="Q9:Q20"/>
    <mergeCell ref="AF9:AF20"/>
    <mergeCell ref="B7:C8"/>
    <mergeCell ref="D7:O7"/>
    <mergeCell ref="Q7:R8"/>
    <mergeCell ref="S7:AD7"/>
    <mergeCell ref="AF7:AG8"/>
    <mergeCell ref="L1:L3"/>
    <mergeCell ref="C5:O5"/>
    <mergeCell ref="B6:O6"/>
    <mergeCell ref="Q6:AD6"/>
    <mergeCell ref="AF6:AS6"/>
    <mergeCell ref="B22:H22"/>
    <mergeCell ref="Q22:W22"/>
    <mergeCell ref="AF22:AL22"/>
    <mergeCell ref="D23:H23"/>
    <mergeCell ref="S23:W23"/>
    <mergeCell ref="AH23:AL23"/>
    <mergeCell ref="B23:C25"/>
    <mergeCell ref="Q23:R25"/>
    <mergeCell ref="AF23:AG25"/>
    <mergeCell ref="T24:T25"/>
    <mergeCell ref="U24:U25"/>
    <mergeCell ref="V24:V25"/>
    <mergeCell ref="W24:W25"/>
    <mergeCell ref="B32:H32"/>
    <mergeCell ref="Q32:W32"/>
    <mergeCell ref="AF32:AL32"/>
    <mergeCell ref="D24:D25"/>
    <mergeCell ref="E24:E25"/>
    <mergeCell ref="F24:F25"/>
    <mergeCell ref="G24:G25"/>
    <mergeCell ref="H24:H25"/>
    <mergeCell ref="S24:S25"/>
    <mergeCell ref="B26:B30"/>
    <mergeCell ref="Q26:Q30"/>
    <mergeCell ref="AF26:AF30"/>
    <mergeCell ref="B33:C35"/>
    <mergeCell ref="D33:H33"/>
    <mergeCell ref="Q33:R35"/>
    <mergeCell ref="S33:W33"/>
    <mergeCell ref="AF33:AG35"/>
    <mergeCell ref="AH33:AL33"/>
    <mergeCell ref="D34:D35"/>
    <mergeCell ref="E34:E35"/>
    <mergeCell ref="F34:F35"/>
    <mergeCell ref="G34:G35"/>
    <mergeCell ref="H34:H35"/>
    <mergeCell ref="S34:S35"/>
    <mergeCell ref="T34:T35"/>
    <mergeCell ref="U34:U35"/>
    <mergeCell ref="V34:V35"/>
    <mergeCell ref="W34:W35"/>
    <mergeCell ref="Q43:R45"/>
    <mergeCell ref="S43:W43"/>
    <mergeCell ref="AF43:AG45"/>
    <mergeCell ref="B36:B40"/>
    <mergeCell ref="Q36:Q40"/>
    <mergeCell ref="AF36:AF40"/>
    <mergeCell ref="B42:H42"/>
    <mergeCell ref="Q42:W42"/>
    <mergeCell ref="AF42:AL42"/>
    <mergeCell ref="B46:B50"/>
    <mergeCell ref="Q46:Q50"/>
    <mergeCell ref="AF46:AF50"/>
    <mergeCell ref="AH43:AL43"/>
    <mergeCell ref="D44:D45"/>
    <mergeCell ref="E44:E45"/>
    <mergeCell ref="F44:F45"/>
    <mergeCell ref="G44:G45"/>
    <mergeCell ref="H44:H45"/>
    <mergeCell ref="S44:S45"/>
    <mergeCell ref="T44:T45"/>
    <mergeCell ref="U44:U45"/>
    <mergeCell ref="V44:V45"/>
    <mergeCell ref="W44:W45"/>
    <mergeCell ref="B43:C45"/>
    <mergeCell ref="D43:H43"/>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Cover</vt:lpstr>
      <vt:lpstr>Table of Contents</vt:lpstr>
      <vt:lpstr>1 Methodology</vt:lpstr>
      <vt:lpstr>2 National Average Costs</vt:lpstr>
      <vt:lpstr>3 New England Costs</vt:lpstr>
      <vt:lpstr>4 Middle Atlantic Costs</vt:lpstr>
      <vt:lpstr>5 East North Central Costs</vt:lpstr>
      <vt:lpstr>6 West North Central Costs</vt:lpstr>
      <vt:lpstr>7 South Atlantic Costs</vt:lpstr>
      <vt:lpstr>8 East South Central Costs</vt:lpstr>
      <vt:lpstr>9 West South Central Costs</vt:lpstr>
      <vt:lpstr>10 Moutain Costs</vt:lpstr>
      <vt:lpstr>11 Pacific Costs</vt:lpstr>
      <vt:lpstr>12 Space Heating Subcomponents</vt:lpstr>
      <vt:lpstr>13 Space Heating Costs</vt:lpstr>
      <vt:lpstr>14 Space Heating Detailed Costs</vt:lpstr>
      <vt:lpstr>15 Space Heating Demo &amp; Permit</vt:lpstr>
      <vt:lpstr>16 Water Heating Costs</vt:lpstr>
      <vt:lpstr>17 Cooking Costs</vt:lpstr>
      <vt:lpstr>18 Clothes Drying Costs</vt:lpstr>
      <vt:lpstr>19 General Wages</vt:lpstr>
      <vt:lpstr>20 Excavation Wages</vt:lpstr>
      <vt:lpstr>21 Sales Taxes</vt:lpstr>
      <vt:lpstr>22 Credits &amp; Trends</vt:lpstr>
      <vt:lpstr>23 Venting Notes</vt:lpstr>
      <vt:lpstr>24 Mini-Split Air Handler Notes</vt:lpstr>
      <vt:lpstr>25 Markup Notes</vt:lpstr>
      <vt:lpstr>26 Gas Dryer 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Residential Technology and Fuel Switching Costs</dc:title>
  <dc:creator/>
  <cp:keywords>residential equipment technology fuel switching costs</cp:keywords>
  <cp:lastModifiedBy/>
  <dcterms:created xsi:type="dcterms:W3CDTF">2026-03-18T13:30:19Z</dcterms:created>
  <dcterms:modified xsi:type="dcterms:W3CDTF">2026-03-18T20:43:42Z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